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6380" windowHeight="8265" activeTab="3"/>
  </bookViews>
  <sheets>
    <sheet name="CW na k. maja_dane z EkoRaszyn" sheetId="1" r:id="rId1"/>
    <sheet name="STANY LICZNIKÓW i ZUŻYCIE" sheetId="2" r:id="rId2"/>
    <sheet name="RACHUNKI ZA GAZ rozbicie" sheetId="3" r:id="rId3"/>
    <sheet name="ROZLICZENIE" sheetId="4" r:id="rId4"/>
    <sheet name="Arkusz2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  <author>Irina Bojko</author>
  </authors>
  <commentList>
    <comment ref="T3" authorId="0">
      <text>
        <r>
          <rPr>
            <b/>
            <sz val="8"/>
            <color indexed="8"/>
            <rFont val="Tahoma"/>
            <family val="2"/>
          </rPr>
          <t xml:space="preserve">l.szelag:
</t>
        </r>
        <r>
          <rPr>
            <sz val="8"/>
            <color indexed="8"/>
            <rFont val="Tahoma"/>
            <family val="2"/>
          </rPr>
          <t>spis CW z protokołów wymiany (odczyty z demontowanych wodomierzy)</t>
        </r>
      </text>
    </comment>
    <comment ref="W4" authorId="1">
      <text>
        <r>
          <rPr>
            <sz val="8"/>
            <rFont val="Tahoma"/>
            <family val="2"/>
          </rPr>
          <t>stan CW na początek okresu rozliczeniowego przyjęto jako 0 w zawiazku z wymianą liczników na przełomie kwie/maja 2012</t>
        </r>
      </text>
    </comment>
  </commentList>
</comments>
</file>

<file path=xl/sharedStrings.xml><?xml version="1.0" encoding="utf-8"?>
<sst xmlns="http://schemas.openxmlformats.org/spreadsheetml/2006/main" count="227" uniqueCount="120">
  <si>
    <t>DANE DO ROZLICZENIA</t>
  </si>
  <si>
    <t>numer lokalu</t>
  </si>
  <si>
    <t>stan liczników</t>
  </si>
  <si>
    <t>zużycie</t>
  </si>
  <si>
    <t>1 czerwca 2010</t>
  </si>
  <si>
    <t>LATO 2010</t>
  </si>
  <si>
    <t>1 października 2010</t>
  </si>
  <si>
    <t>ZIMA 2010/2011</t>
  </si>
  <si>
    <t>1 maja 2011</t>
  </si>
  <si>
    <t>LATO 2011</t>
  </si>
  <si>
    <t>1 październik 2011</t>
  </si>
  <si>
    <t>ZIMA 2011/2012</t>
  </si>
  <si>
    <t>kwie/maj 2012</t>
  </si>
  <si>
    <t xml:space="preserve">CW (m³) </t>
  </si>
  <si>
    <t xml:space="preserve">CW  (m³) </t>
  </si>
  <si>
    <t>CO (GJ)</t>
  </si>
  <si>
    <t>suma</t>
  </si>
  <si>
    <t>PODZIAŁ KOSZTÓW GAZU zgodnie z uchwałą nr 3 / 2013</t>
  </si>
  <si>
    <t>miesiąc</t>
  </si>
  <si>
    <t>koszty stałe</t>
  </si>
  <si>
    <t>C.W.</t>
  </si>
  <si>
    <t>C.O.</t>
  </si>
  <si>
    <t>Wysokość rachunku za gaz</t>
  </si>
  <si>
    <t xml:space="preserve"> -</t>
  </si>
  <si>
    <t>ŚREDNIA Z          M-CY LETNICH</t>
  </si>
  <si>
    <t>SUMY:</t>
  </si>
  <si>
    <t>rozliczenie kosztów stałych dostawy gazu według udziałów w nieruchomości wspólnej</t>
  </si>
  <si>
    <t>rozliczenie kosztów gazu potrzebnego do podgrzania CW (ciepłej wody) wg zużycia w lokalu</t>
  </si>
  <si>
    <t>rozliczenie kosztów gazu na potrzeby CO                                       (centralnego ogrzewania) wg zużycia w lokalu</t>
  </si>
  <si>
    <t>suma kosztów:</t>
  </si>
  <si>
    <t>suma udziałów w budynku:</t>
  </si>
  <si>
    <t>suma zużycia w budynku (m3):</t>
  </si>
  <si>
    <t>suma zużycia w budynku (GJ):</t>
  </si>
  <si>
    <t>koszt na udział:</t>
  </si>
  <si>
    <t>koszt 1 m3</t>
  </si>
  <si>
    <t>koszt 1 GJ</t>
  </si>
  <si>
    <t>przypadający koszt</t>
  </si>
  <si>
    <t>lokal</t>
  </si>
  <si>
    <t>udział</t>
  </si>
  <si>
    <t>zużycie (m3)</t>
  </si>
  <si>
    <t>zużycie (GJ)</t>
  </si>
  <si>
    <t>suma kontrolna:</t>
  </si>
  <si>
    <t xml:space="preserve">stan C.W.  (w m³)        01 cze 2010  </t>
  </si>
  <si>
    <t xml:space="preserve">stan C.W.  (w m³)        01 paź 2010  </t>
  </si>
  <si>
    <t>zużycie C.W. (w m³)  za LATO</t>
  </si>
  <si>
    <t>koszt zużycia C.W. za LATO</t>
  </si>
  <si>
    <t>stan C.W.  (w m³)        01 maj 2011</t>
  </si>
  <si>
    <t>zużycie C.W. (w m³)  ZIMA</t>
  </si>
  <si>
    <t>koszt zużycia C.W. w ZIMIE</t>
  </si>
  <si>
    <t xml:space="preserve">stan C.O.  (w GJ)        01 paź 2010  </t>
  </si>
  <si>
    <t xml:space="preserve">stan C.O.  (w GJ)        01 maj 2011  </t>
  </si>
  <si>
    <t>zużycie C.O. (w GJ)</t>
  </si>
  <si>
    <t>wysokość rachunku za dany miesiąc</t>
  </si>
  <si>
    <t>minus koszty stałe</t>
  </si>
  <si>
    <t>koszt C.W. w danym miesiącu</t>
  </si>
  <si>
    <r>
      <t>cena 1 m</t>
    </r>
    <r>
      <rPr>
        <vertAlign val="superscript"/>
        <sz val="11"/>
        <color indexed="8"/>
        <rFont val="Czcionka tekstu podstawowego"/>
        <family val="0"/>
      </rPr>
      <t>3</t>
    </r>
    <r>
      <rPr>
        <sz val="11"/>
        <color indexed="8"/>
        <rFont val="Czcionka tekstu podstawowego"/>
        <family val="2"/>
      </rPr>
      <t xml:space="preserve"> C.W. (</t>
    </r>
    <r>
      <rPr>
        <b/>
        <sz val="11"/>
        <color indexed="8"/>
        <rFont val="Czcionka tekstu podstawowego"/>
        <family val="0"/>
      </rPr>
      <t xml:space="preserve">3743,10zł / </t>
    </r>
    <r>
      <rPr>
        <b/>
        <sz val="11"/>
        <color indexed="30"/>
        <rFont val="Czcionka tekstu podstawowego"/>
        <family val="0"/>
      </rPr>
      <t>229m</t>
    </r>
    <r>
      <rPr>
        <b/>
        <vertAlign val="superscript"/>
        <sz val="11"/>
        <color indexed="30"/>
        <rFont val="Czcionka tekstu podstawowego"/>
        <family val="0"/>
      </rPr>
      <t>3</t>
    </r>
    <r>
      <rPr>
        <sz val="11"/>
        <color indexed="8"/>
        <rFont val="Czcionka tekstu podstawowego"/>
        <family val="2"/>
      </rPr>
      <t>)</t>
    </r>
  </si>
  <si>
    <t>koszt C.W. w danym miesiącu (ŚREDNIA Z LATA)</t>
  </si>
  <si>
    <r>
      <t>cena 1 m</t>
    </r>
    <r>
      <rPr>
        <vertAlign val="superscript"/>
        <sz val="11"/>
        <color indexed="8"/>
        <rFont val="Czcionka tekstu podstawowego"/>
        <family val="0"/>
      </rPr>
      <t>3</t>
    </r>
    <r>
      <rPr>
        <sz val="11"/>
        <color indexed="8"/>
        <rFont val="Czcionka tekstu podstawowego"/>
        <family val="2"/>
      </rPr>
      <t xml:space="preserve"> C.W. (</t>
    </r>
    <r>
      <rPr>
        <b/>
        <sz val="11"/>
        <color indexed="8"/>
        <rFont val="Czcionka tekstu podstawowego"/>
        <family val="0"/>
      </rPr>
      <t xml:space="preserve">6550,32zł / </t>
    </r>
    <r>
      <rPr>
        <b/>
        <sz val="11"/>
        <color indexed="30"/>
        <rFont val="Czcionka tekstu podstawowego"/>
        <family val="0"/>
      </rPr>
      <t>426m</t>
    </r>
    <r>
      <rPr>
        <b/>
        <vertAlign val="superscript"/>
        <sz val="11"/>
        <color indexed="30"/>
        <rFont val="Czcionka tekstu podstawowego"/>
        <family val="0"/>
      </rPr>
      <t>3</t>
    </r>
    <r>
      <rPr>
        <sz val="11"/>
        <color indexed="8"/>
        <rFont val="Czcionka tekstu podstawowego"/>
        <family val="2"/>
      </rPr>
      <t>)</t>
    </r>
  </si>
  <si>
    <t>gaz wrzesień</t>
  </si>
  <si>
    <t>kwiecień</t>
  </si>
  <si>
    <t>gaz kwiecień</t>
  </si>
  <si>
    <t>gaz sierpień</t>
  </si>
  <si>
    <t>marzec</t>
  </si>
  <si>
    <t>gaz marzec</t>
  </si>
  <si>
    <t>gaz lipiec</t>
  </si>
  <si>
    <t xml:space="preserve"> luty</t>
  </si>
  <si>
    <t>gaz luty</t>
  </si>
  <si>
    <t>gaz czerwiec</t>
  </si>
  <si>
    <t>styczeń</t>
  </si>
  <si>
    <t>gaz styczeń</t>
  </si>
  <si>
    <t>SUMA KOSZTÓW C.W. LATO</t>
  </si>
  <si>
    <t>grudzień</t>
  </si>
  <si>
    <t>gaz grudzień</t>
  </si>
  <si>
    <t>listopad</t>
  </si>
  <si>
    <t>gaz listopad</t>
  </si>
  <si>
    <t>ŚREDNIA KOSZTÓW C.W. W LECIE (ZA MIESIĄC)</t>
  </si>
  <si>
    <t>październik</t>
  </si>
  <si>
    <t>gaz październik</t>
  </si>
  <si>
    <t>SUMA ZIMA</t>
  </si>
  <si>
    <t>SUMA</t>
  </si>
  <si>
    <t>30 kwietnia 2013</t>
  </si>
  <si>
    <t>2012/2013</t>
  </si>
  <si>
    <t>30 kwietnia 2014</t>
  </si>
  <si>
    <t>30 kwietnia 2015</t>
  </si>
  <si>
    <t>WYNIK ROZLICZENIA                                                                        /plus/ to NADPŁATA    /minus/ to NIEDOPŁATA</t>
  </si>
  <si>
    <t>2013/2014</t>
  </si>
  <si>
    <t>2014/2015</t>
  </si>
  <si>
    <t>obliczenie miesięcznej zalczki na kolejny okres</t>
  </si>
  <si>
    <t>2015/2016</t>
  </si>
  <si>
    <t>30 kwietnia 2016</t>
  </si>
  <si>
    <t>2016/2017</t>
  </si>
  <si>
    <t xml:space="preserve">SUMA KOSZTÓW                                                                     przypadających na lokal zgodnie ze zużyciem </t>
  </si>
  <si>
    <t>31 maja 2017</t>
  </si>
  <si>
    <t>2017/2018</t>
  </si>
  <si>
    <t>stan zdemontowanego wodomierza CW</t>
  </si>
  <si>
    <t>30 kwietnia 2018</t>
  </si>
  <si>
    <t>test</t>
  </si>
  <si>
    <t>2018/2019</t>
  </si>
  <si>
    <t>co na dz. 5.05</t>
  </si>
  <si>
    <t>31 maja 2019</t>
  </si>
  <si>
    <t>31 maja 2020</t>
  </si>
  <si>
    <t>stan zdemontowanego ciepłomierza</t>
  </si>
  <si>
    <t>2019/2020</t>
  </si>
  <si>
    <t>31 maja 2021</t>
  </si>
  <si>
    <t>2020/2021</t>
  </si>
  <si>
    <t>2021/2022</t>
  </si>
  <si>
    <t>31 maja 2022</t>
  </si>
  <si>
    <t>dni</t>
  </si>
  <si>
    <t>zaokrągl.</t>
  </si>
  <si>
    <t>śr. z 4 sez.</t>
  </si>
  <si>
    <t>CW</t>
  </si>
  <si>
    <t>CO</t>
  </si>
  <si>
    <t>porówn. test</t>
  </si>
  <si>
    <t>31 maja 2023</t>
  </si>
  <si>
    <t>2022/2023</t>
  </si>
  <si>
    <t>miesięczna zaliczka w mies. cze - wrz 2022r.</t>
  </si>
  <si>
    <t>SUMA NALEŻNYCH WSPÓLNOCIE ZALICZEK NA GAZ                                      czerwiec 2022 - maj 2023</t>
  </si>
  <si>
    <t>miesięczna zaliczka w mies. paź 2022 - maj 2023r.</t>
  </si>
  <si>
    <t>zużycie do demontażu</t>
  </si>
  <si>
    <t>stan na dzień demontażu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</si>
</sst>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mmmm\ yy;@"/>
    <numFmt numFmtId="166" formatCode="#,##0.00&quot; zł&quot;"/>
    <numFmt numFmtId="167" formatCode="#,##0.0000000000&quot; zł&quot;"/>
    <numFmt numFmtId="168" formatCode="#,##0.00\ &quot;zł&quot;"/>
    <numFmt numFmtId="169" formatCode="mmm/yyyy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d/mm;@"/>
    <numFmt numFmtId="177" formatCode="[$-415]d\ mmm;@"/>
    <numFmt numFmtId="178" formatCode="0.0"/>
    <numFmt numFmtId="179" formatCode="[$-415]d/mmm/yyyy;@"/>
    <numFmt numFmtId="180" formatCode="[$-415]d\ mmm\ yy;@"/>
  </numFmts>
  <fonts count="10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Czcionka tekstu podstawowego"/>
      <family val="0"/>
    </font>
    <font>
      <sz val="11"/>
      <color indexed="20"/>
      <name val="Czcionka tekstu podstawowego"/>
      <family val="0"/>
    </font>
    <font>
      <b/>
      <sz val="11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12"/>
      <color indexed="10"/>
      <name val="Czcionka tekstu podstawowego"/>
      <family val="0"/>
    </font>
    <font>
      <sz val="11"/>
      <color indexed="10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name val="Czcionka tekstu podstawowego"/>
      <family val="0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5"/>
      <color indexed="10"/>
      <name val="Calibri"/>
      <family val="2"/>
    </font>
    <font>
      <b/>
      <sz val="1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indexed="30"/>
      <name val="Czcionka tekstu podstawowego"/>
      <family val="2"/>
    </font>
    <font>
      <b/>
      <sz val="11"/>
      <color indexed="30"/>
      <name val="Czcionka tekstu podstawowego"/>
      <family val="0"/>
    </font>
    <font>
      <sz val="11"/>
      <color indexed="17"/>
      <name val="Czcionka tekstu podstawowego"/>
      <family val="2"/>
    </font>
    <font>
      <i/>
      <sz val="11"/>
      <color indexed="55"/>
      <name val="Czcionka tekstu podstawowego"/>
      <family val="0"/>
    </font>
    <font>
      <vertAlign val="superscript"/>
      <sz val="11"/>
      <color indexed="8"/>
      <name val="Czcionka tekstu podstawowego"/>
      <family val="0"/>
    </font>
    <font>
      <b/>
      <vertAlign val="superscript"/>
      <sz val="11"/>
      <color indexed="30"/>
      <name val="Czcionka tekstu podstawowego"/>
      <family val="0"/>
    </font>
    <font>
      <sz val="8"/>
      <name val="Tahoma"/>
      <family val="2"/>
    </font>
    <font>
      <sz val="11"/>
      <name val="Arial"/>
      <family val="2"/>
    </font>
    <font>
      <b/>
      <i/>
      <sz val="15"/>
      <name val="Calibri"/>
      <family val="2"/>
    </font>
    <font>
      <b/>
      <i/>
      <sz val="11"/>
      <color indexed="8"/>
      <name val="Calibri"/>
      <family val="2"/>
    </font>
    <font>
      <sz val="4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7"/>
      <name val="Arial"/>
      <family val="2"/>
    </font>
    <font>
      <i/>
      <sz val="11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i/>
      <sz val="11"/>
      <color indexed="17"/>
      <name val="Calibri"/>
      <family val="2"/>
    </font>
    <font>
      <b/>
      <sz val="11"/>
      <color indexed="17"/>
      <name val="Calibri"/>
      <family val="2"/>
    </font>
    <font>
      <b/>
      <i/>
      <sz val="11"/>
      <color indexed="17"/>
      <name val="Calibri"/>
      <family val="2"/>
    </font>
    <font>
      <sz val="9"/>
      <color indexed="10"/>
      <name val="Czcionka tekstu podstawowego"/>
      <family val="2"/>
    </font>
    <font>
      <i/>
      <sz val="15"/>
      <color indexed="17"/>
      <name val="Calibri"/>
      <family val="2"/>
    </font>
    <font>
      <b/>
      <sz val="15"/>
      <color indexed="17"/>
      <name val="Calibri"/>
      <family val="2"/>
    </font>
    <font>
      <sz val="9"/>
      <name val="Czcionka tekstu podstawowego"/>
      <family val="2"/>
    </font>
    <font>
      <b/>
      <sz val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1"/>
      <color rgb="FF00B050"/>
      <name val="Czcionka tekstu podstawowego"/>
      <family val="0"/>
    </font>
    <font>
      <sz val="11"/>
      <color rgb="FF00B050"/>
      <name val="Calibri"/>
      <family val="2"/>
    </font>
    <font>
      <i/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i/>
      <sz val="11"/>
      <color rgb="FF00B050"/>
      <name val="Calibri"/>
      <family val="2"/>
    </font>
    <font>
      <sz val="10"/>
      <color theme="1"/>
      <name val="Arial"/>
      <family val="2"/>
    </font>
    <font>
      <sz val="9"/>
      <color rgb="FFFF0000"/>
      <name val="Czcionka tekstu podstawowego"/>
      <family val="2"/>
    </font>
    <font>
      <i/>
      <sz val="15"/>
      <color rgb="FF00B050"/>
      <name val="Calibri"/>
      <family val="2"/>
    </font>
    <font>
      <b/>
      <sz val="15"/>
      <color rgb="FF00B050"/>
      <name val="Calibri"/>
      <family val="2"/>
    </font>
    <font>
      <b/>
      <sz val="8"/>
      <name val="Czcionka tekstu podstawowego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79" fillId="0" borderId="3" applyNumberFormat="0" applyFill="0" applyAlignment="0" applyProtection="0"/>
    <xf numFmtId="0" fontId="80" fillId="29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85" fillId="27" borderId="1" applyNumberFormat="0" applyAlignment="0" applyProtection="0"/>
    <xf numFmtId="9" fontId="1" fillId="0" borderId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0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5" fillId="33" borderId="13" xfId="52" applyNumberFormat="1" applyFont="1" applyFill="1" applyBorder="1" applyAlignment="1">
      <alignment horizontal="center" vertical="center" wrapText="1"/>
      <protection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0" xfId="52" applyFont="1" applyBorder="1" applyAlignment="1">
      <alignment vertical="top" wrapText="1"/>
      <protection/>
    </xf>
    <xf numFmtId="0" fontId="5" fillId="0" borderId="12" xfId="52" applyFont="1" applyFill="1" applyBorder="1" applyAlignment="1">
      <alignment vertical="top" wrapText="1"/>
      <protection/>
    </xf>
    <xf numFmtId="0" fontId="5" fillId="0" borderId="14" xfId="0" applyFont="1" applyFill="1" applyBorder="1" applyAlignment="1">
      <alignment horizontal="center" vertical="center" textRotation="90"/>
    </xf>
    <xf numFmtId="0" fontId="8" fillId="0" borderId="12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1" fontId="1" fillId="0" borderId="15" xfId="52" applyNumberFormat="1" applyFont="1" applyFill="1" applyBorder="1">
      <alignment/>
      <protection/>
    </xf>
    <xf numFmtId="2" fontId="1" fillId="0" borderId="15" xfId="52" applyNumberFormat="1" applyFont="1" applyFill="1" applyBorder="1">
      <alignment/>
      <protection/>
    </xf>
    <xf numFmtId="0" fontId="3" fillId="0" borderId="14" xfId="0" applyFont="1" applyFill="1" applyBorder="1" applyAlignment="1">
      <alignment horizontal="center" vertical="center" textRotation="90"/>
    </xf>
    <xf numFmtId="0" fontId="8" fillId="0" borderId="15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3" fillId="0" borderId="16" xfId="0" applyFont="1" applyBorder="1" applyAlignment="1">
      <alignment horizontal="right"/>
    </xf>
    <xf numFmtId="0" fontId="4" fillId="0" borderId="0" xfId="0" applyFont="1" applyBorder="1" applyAlignment="1">
      <alignment/>
    </xf>
    <xf numFmtId="2" fontId="3" fillId="0" borderId="0" xfId="0" applyNumberFormat="1" applyFont="1" applyFill="1" applyAlignment="1">
      <alignment/>
    </xf>
    <xf numFmtId="2" fontId="3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165" fontId="10" fillId="0" borderId="18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18" xfId="0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5" fontId="22" fillId="0" borderId="0" xfId="0" applyNumberFormat="1" applyFont="1" applyBorder="1" applyAlignment="1">
      <alignment/>
    </xf>
    <xf numFmtId="166" fontId="23" fillId="35" borderId="0" xfId="0" applyNumberFormat="1" applyFont="1" applyFill="1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23" fillId="34" borderId="0" xfId="0" applyFont="1" applyFill="1" applyAlignment="1">
      <alignment vertical="center"/>
    </xf>
    <xf numFmtId="166" fontId="23" fillId="36" borderId="0" xfId="0" applyNumberFormat="1" applyFont="1" applyFill="1" applyBorder="1" applyAlignment="1">
      <alignment horizontal="right"/>
    </xf>
    <xf numFmtId="0" fontId="23" fillId="0" borderId="0" xfId="0" applyFont="1" applyAlignment="1">
      <alignment horizontal="right" vertical="center"/>
    </xf>
    <xf numFmtId="165" fontId="22" fillId="0" borderId="0" xfId="0" applyNumberFormat="1" applyFont="1" applyFill="1" applyBorder="1" applyAlignment="1">
      <alignment/>
    </xf>
    <xf numFmtId="166" fontId="23" fillId="0" borderId="0" xfId="0" applyNumberFormat="1" applyFont="1" applyFill="1" applyBorder="1" applyAlignment="1">
      <alignment horizontal="right"/>
    </xf>
    <xf numFmtId="0" fontId="23" fillId="0" borderId="0" xfId="0" applyFont="1" applyAlignment="1">
      <alignment vertical="center"/>
    </xf>
    <xf numFmtId="0" fontId="23" fillId="34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166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3" fillId="0" borderId="19" xfId="0" applyNumberFormat="1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167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66" fontId="24" fillId="0" borderId="0" xfId="0" applyNumberFormat="1" applyFont="1" applyAlignment="1">
      <alignment horizontal="right" vertical="center"/>
    </xf>
    <xf numFmtId="166" fontId="18" fillId="0" borderId="15" xfId="0" applyNumberFormat="1" applyFont="1" applyBorder="1" applyAlignment="1">
      <alignment/>
    </xf>
    <xf numFmtId="166" fontId="25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6" fillId="0" borderId="0" xfId="0" applyFont="1" applyAlignment="1">
      <alignment horizontal="right"/>
    </xf>
    <xf numFmtId="166" fontId="26" fillId="0" borderId="0" xfId="0" applyNumberFormat="1" applyFont="1" applyAlignment="1">
      <alignment horizontal="right" vertical="center"/>
    </xf>
    <xf numFmtId="0" fontId="26" fillId="34" borderId="0" xfId="0" applyFont="1" applyFill="1" applyAlignment="1">
      <alignment horizontal="right"/>
    </xf>
    <xf numFmtId="166" fontId="27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6" fontId="29" fillId="0" borderId="0" xfId="0" applyNumberFormat="1" applyFont="1" applyBorder="1" applyAlignment="1">
      <alignment/>
    </xf>
    <xf numFmtId="166" fontId="18" fillId="0" borderId="0" xfId="0" applyNumberFormat="1" applyFont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1" fillId="0" borderId="15" xfId="52" applyFont="1" applyBorder="1" applyAlignment="1">
      <alignment vertical="top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1" fontId="30" fillId="38" borderId="15" xfId="52" applyNumberFormat="1" applyFont="1" applyFill="1" applyBorder="1">
      <alignment/>
      <protection/>
    </xf>
    <xf numFmtId="1" fontId="30" fillId="0" borderId="15" xfId="52" applyNumberFormat="1" applyFont="1" applyFill="1" applyBorder="1">
      <alignment/>
      <protection/>
    </xf>
    <xf numFmtId="1" fontId="31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2" fontId="1" fillId="0" borderId="15" xfId="52" applyNumberFormat="1" applyBorder="1">
      <alignment/>
      <protection/>
    </xf>
    <xf numFmtId="2" fontId="0" fillId="0" borderId="0" xfId="0" applyNumberFormat="1" applyAlignment="1">
      <alignment/>
    </xf>
    <xf numFmtId="1" fontId="30" fillId="0" borderId="15" xfId="52" applyNumberFormat="1" applyFont="1" applyBorder="1">
      <alignment/>
      <protection/>
    </xf>
    <xf numFmtId="1" fontId="30" fillId="39" borderId="15" xfId="52" applyNumberFormat="1" applyFont="1" applyFill="1" applyBorder="1">
      <alignment/>
      <protection/>
    </xf>
    <xf numFmtId="1" fontId="32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33" fillId="0" borderId="0" xfId="0" applyNumberFormat="1" applyFont="1" applyAlignment="1">
      <alignment/>
    </xf>
    <xf numFmtId="0" fontId="15" fillId="0" borderId="0" xfId="0" applyFont="1" applyAlignment="1">
      <alignment wrapText="1"/>
    </xf>
    <xf numFmtId="0" fontId="3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38" borderId="16" xfId="0" applyFont="1" applyFill="1" applyBorder="1" applyAlignment="1">
      <alignment horizontal="center" wrapText="1"/>
    </xf>
    <xf numFmtId="0" fontId="15" fillId="0" borderId="0" xfId="0" applyFont="1" applyAlignment="1">
      <alignment horizontal="right"/>
    </xf>
    <xf numFmtId="166" fontId="15" fillId="0" borderId="0" xfId="0" applyNumberFormat="1" applyFont="1" applyAlignment="1">
      <alignment/>
    </xf>
    <xf numFmtId="0" fontId="34" fillId="0" borderId="0" xfId="0" applyFont="1" applyAlignment="1">
      <alignment/>
    </xf>
    <xf numFmtId="166" fontId="10" fillId="0" borderId="20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166" fontId="10" fillId="38" borderId="2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5" fillId="38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5" fillId="0" borderId="0" xfId="0" applyFont="1" applyFill="1" applyBorder="1" applyAlignment="1">
      <alignment/>
    </xf>
    <xf numFmtId="166" fontId="1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0" fontId="5" fillId="40" borderId="12" xfId="52" applyFont="1" applyFill="1" applyBorder="1" applyAlignment="1">
      <alignment vertical="top" wrapText="1"/>
      <protection/>
    </xf>
    <xf numFmtId="2" fontId="5" fillId="40" borderId="15" xfId="52" applyNumberFormat="1" applyFont="1" applyFill="1" applyBorder="1">
      <alignment/>
      <protection/>
    </xf>
    <xf numFmtId="2" fontId="5" fillId="40" borderId="10" xfId="52" applyNumberFormat="1" applyFont="1" applyFill="1" applyBorder="1">
      <alignment/>
      <protection/>
    </xf>
    <xf numFmtId="0" fontId="5" fillId="41" borderId="12" xfId="52" applyFont="1" applyFill="1" applyBorder="1" applyAlignment="1">
      <alignment vertical="top" wrapText="1"/>
      <protection/>
    </xf>
    <xf numFmtId="2" fontId="5" fillId="41" borderId="15" xfId="52" applyNumberFormat="1" applyFont="1" applyFill="1" applyBorder="1">
      <alignment/>
      <protection/>
    </xf>
    <xf numFmtId="2" fontId="5" fillId="41" borderId="10" xfId="52" applyNumberFormat="1" applyFont="1" applyFill="1" applyBorder="1">
      <alignment/>
      <protection/>
    </xf>
    <xf numFmtId="0" fontId="5" fillId="42" borderId="12" xfId="52" applyFont="1" applyFill="1" applyBorder="1" applyAlignment="1">
      <alignment vertical="top" wrapText="1"/>
      <protection/>
    </xf>
    <xf numFmtId="1" fontId="5" fillId="42" borderId="15" xfId="52" applyNumberFormat="1" applyFont="1" applyFill="1" applyBorder="1">
      <alignment/>
      <protection/>
    </xf>
    <xf numFmtId="1" fontId="5" fillId="42" borderId="10" xfId="52" applyNumberFormat="1" applyFont="1" applyFill="1" applyBorder="1">
      <alignment/>
      <protection/>
    </xf>
    <xf numFmtId="2" fontId="5" fillId="0" borderId="0" xfId="0" applyNumberFormat="1" applyFont="1" applyFill="1" applyBorder="1" applyAlignment="1">
      <alignment/>
    </xf>
    <xf numFmtId="1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5" fillId="42" borderId="12" xfId="52" applyNumberFormat="1" applyFont="1" applyFill="1" applyBorder="1" applyAlignment="1">
      <alignment vertical="top" wrapText="1"/>
      <protection/>
    </xf>
    <xf numFmtId="1" fontId="5" fillId="43" borderId="15" xfId="52" applyNumberFormat="1" applyFont="1" applyFill="1" applyBorder="1">
      <alignment/>
      <protection/>
    </xf>
    <xf numFmtId="1" fontId="3" fillId="0" borderId="0" xfId="0" applyNumberFormat="1" applyFont="1" applyAlignment="1">
      <alignment/>
    </xf>
    <xf numFmtId="49" fontId="1" fillId="0" borderId="22" xfId="0" applyNumberFormat="1" applyFont="1" applyFill="1" applyBorder="1" applyAlignment="1">
      <alignment horizontal="center" vertical="center"/>
    </xf>
    <xf numFmtId="0" fontId="5" fillId="0" borderId="22" xfId="52" applyFont="1" applyFill="1" applyBorder="1" applyAlignment="1">
      <alignment vertical="top" wrapText="1"/>
      <protection/>
    </xf>
    <xf numFmtId="2" fontId="1" fillId="0" borderId="22" xfId="52" applyNumberFormat="1" applyFont="1" applyFill="1" applyBorder="1">
      <alignment/>
      <protection/>
    </xf>
    <xf numFmtId="2" fontId="3" fillId="0" borderId="0" xfId="0" applyNumberFormat="1" applyFont="1" applyFill="1" applyBorder="1" applyAlignment="1">
      <alignment/>
    </xf>
    <xf numFmtId="49" fontId="1" fillId="33" borderId="22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91" fillId="0" borderId="21" xfId="54" applyNumberFormat="1" applyFont="1" applyBorder="1">
      <alignment/>
      <protection/>
    </xf>
    <xf numFmtId="2" fontId="91" fillId="0" borderId="21" xfId="54" applyNumberFormat="1" applyFont="1" applyFill="1" applyBorder="1">
      <alignment/>
      <protection/>
    </xf>
    <xf numFmtId="166" fontId="23" fillId="44" borderId="0" xfId="0" applyNumberFormat="1" applyFont="1" applyFill="1" applyBorder="1" applyAlignment="1">
      <alignment horizontal="right"/>
    </xf>
    <xf numFmtId="0" fontId="5" fillId="44" borderId="12" xfId="52" applyFont="1" applyFill="1" applyBorder="1" applyAlignment="1">
      <alignment vertical="top" wrapText="1"/>
      <protection/>
    </xf>
    <xf numFmtId="2" fontId="5" fillId="45" borderId="15" xfId="52" applyNumberFormat="1" applyFont="1" applyFill="1" applyBorder="1">
      <alignment/>
      <protection/>
    </xf>
    <xf numFmtId="2" fontId="5" fillId="44" borderId="15" xfId="52" applyNumberFormat="1" applyFont="1" applyFill="1" applyBorder="1">
      <alignment/>
      <protection/>
    </xf>
    <xf numFmtId="2" fontId="5" fillId="44" borderId="10" xfId="52" applyNumberFormat="1" applyFont="1" applyFill="1" applyBorder="1">
      <alignment/>
      <protection/>
    </xf>
    <xf numFmtId="165" fontId="10" fillId="0" borderId="23" xfId="0" applyNumberFormat="1" applyFont="1" applyFill="1" applyBorder="1" applyAlignment="1">
      <alignment/>
    </xf>
    <xf numFmtId="165" fontId="10" fillId="0" borderId="24" xfId="0" applyNumberFormat="1" applyFont="1" applyFill="1" applyBorder="1" applyAlignment="1">
      <alignment/>
    </xf>
    <xf numFmtId="1" fontId="91" fillId="0" borderId="21" xfId="0" applyNumberFormat="1" applyFont="1" applyBorder="1" applyAlignment="1">
      <alignment/>
    </xf>
    <xf numFmtId="4" fontId="38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2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68" fontId="4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Alignment="1">
      <alignment horizontal="right"/>
    </xf>
    <xf numFmtId="166" fontId="13" fillId="0" borderId="25" xfId="0" applyNumberFormat="1" applyFont="1" applyFill="1" applyBorder="1" applyAlignment="1">
      <alignment horizontal="center"/>
    </xf>
    <xf numFmtId="166" fontId="92" fillId="0" borderId="0" xfId="0" applyNumberFormat="1" applyFont="1" applyAlignment="1">
      <alignment/>
    </xf>
    <xf numFmtId="4" fontId="92" fillId="0" borderId="0" xfId="0" applyNumberFormat="1" applyFont="1" applyAlignment="1">
      <alignment/>
    </xf>
    <xf numFmtId="0" fontId="92" fillId="0" borderId="0" xfId="0" applyNumberFormat="1" applyFont="1" applyAlignment="1">
      <alignment/>
    </xf>
    <xf numFmtId="0" fontId="92" fillId="0" borderId="0" xfId="0" applyFont="1" applyAlignment="1">
      <alignment/>
    </xf>
    <xf numFmtId="10" fontId="92" fillId="0" borderId="0" xfId="0" applyNumberFormat="1" applyFont="1" applyAlignment="1">
      <alignment/>
    </xf>
    <xf numFmtId="170" fontId="92" fillId="0" borderId="0" xfId="0" applyNumberFormat="1" applyFont="1" applyAlignment="1">
      <alignment/>
    </xf>
    <xf numFmtId="166" fontId="0" fillId="46" borderId="21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horizontal="right" vertical="center" wrapText="1"/>
    </xf>
    <xf numFmtId="166" fontId="14" fillId="0" borderId="27" xfId="0" applyNumberFormat="1" applyFont="1" applyFill="1" applyBorder="1" applyAlignment="1">
      <alignment horizontal="right"/>
    </xf>
    <xf numFmtId="166" fontId="13" fillId="0" borderId="27" xfId="0" applyNumberFormat="1" applyFont="1" applyFill="1" applyBorder="1" applyAlignment="1">
      <alignment horizontal="right"/>
    </xf>
    <xf numFmtId="0" fontId="12" fillId="35" borderId="28" xfId="0" applyFont="1" applyFill="1" applyBorder="1" applyAlignment="1">
      <alignment horizontal="center" vertical="center" wrapText="1"/>
    </xf>
    <xf numFmtId="4" fontId="12" fillId="36" borderId="29" xfId="0" applyNumberFormat="1" applyFont="1" applyFill="1" applyBorder="1" applyAlignment="1">
      <alignment horizontal="center" vertical="center" wrapText="1"/>
    </xf>
    <xf numFmtId="0" fontId="10" fillId="44" borderId="30" xfId="0" applyFont="1" applyFill="1" applyBorder="1" applyAlignment="1">
      <alignment horizontal="center" vertical="center" wrapText="1"/>
    </xf>
    <xf numFmtId="166" fontId="16" fillId="0" borderId="21" xfId="0" applyNumberFormat="1" applyFont="1" applyBorder="1" applyAlignment="1">
      <alignment horizontal="center" wrapText="1"/>
    </xf>
    <xf numFmtId="0" fontId="12" fillId="0" borderId="31" xfId="0" applyFont="1" applyFill="1" applyBorder="1" applyAlignment="1">
      <alignment horizontal="center" vertical="center" wrapText="1"/>
    </xf>
    <xf numFmtId="4" fontId="12" fillId="0" borderId="32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166" fontId="0" fillId="0" borderId="34" xfId="0" applyNumberFormat="1" applyFont="1" applyBorder="1" applyAlignment="1">
      <alignment horizontal="center"/>
    </xf>
    <xf numFmtId="165" fontId="10" fillId="0" borderId="35" xfId="0" applyNumberFormat="1" applyFont="1" applyBorder="1" applyAlignment="1">
      <alignment/>
    </xf>
    <xf numFmtId="166" fontId="0" fillId="44" borderId="34" xfId="0" applyNumberFormat="1" applyFont="1" applyFill="1" applyBorder="1" applyAlignment="1">
      <alignment horizontal="center"/>
    </xf>
    <xf numFmtId="166" fontId="17" fillId="44" borderId="34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9" fontId="4" fillId="0" borderId="0" xfId="0" applyNumberFormat="1" applyFont="1" applyFill="1" applyAlignment="1">
      <alignment horizontal="center" vertical="center"/>
    </xf>
    <xf numFmtId="1" fontId="91" fillId="0" borderId="21" xfId="0" applyNumberFormat="1" applyFont="1" applyBorder="1" applyAlignment="1">
      <alignment horizontal="right"/>
    </xf>
    <xf numFmtId="2" fontId="1" fillId="0" borderId="2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1" fontId="1" fillId="0" borderId="15" xfId="52" applyNumberFormat="1" applyFont="1" applyFill="1" applyBorder="1" applyAlignment="1">
      <alignment horizontal="right"/>
      <protection/>
    </xf>
    <xf numFmtId="166" fontId="11" fillId="47" borderId="35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168" fontId="40" fillId="0" borderId="0" xfId="0" applyNumberFormat="1" applyFont="1" applyAlignment="1">
      <alignment/>
    </xf>
    <xf numFmtId="168" fontId="28" fillId="0" borderId="0" xfId="0" applyNumberFormat="1" applyFont="1" applyAlignment="1">
      <alignment horizontal="right"/>
    </xf>
    <xf numFmtId="0" fontId="10" fillId="0" borderId="36" xfId="0" applyFont="1" applyBorder="1" applyAlignment="1">
      <alignment/>
    </xf>
    <xf numFmtId="166" fontId="13" fillId="0" borderId="37" xfId="0" applyNumberFormat="1" applyFont="1" applyFill="1" applyBorder="1" applyAlignment="1">
      <alignment horizontal="center"/>
    </xf>
    <xf numFmtId="166" fontId="13" fillId="0" borderId="38" xfId="0" applyNumberFormat="1" applyFont="1" applyFill="1" applyBorder="1" applyAlignment="1">
      <alignment horizontal="center"/>
    </xf>
    <xf numFmtId="166" fontId="13" fillId="0" borderId="39" xfId="0" applyNumberFormat="1" applyFont="1" applyBorder="1" applyAlignment="1">
      <alignment horizontal="right"/>
    </xf>
    <xf numFmtId="166" fontId="13" fillId="0" borderId="40" xfId="0" applyNumberFormat="1" applyFont="1" applyFill="1" applyBorder="1" applyAlignment="1">
      <alignment horizontal="right"/>
    </xf>
    <xf numFmtId="0" fontId="93" fillId="0" borderId="0" xfId="0" applyFont="1" applyAlignment="1">
      <alignment/>
    </xf>
    <xf numFmtId="166" fontId="94" fillId="0" borderId="0" xfId="0" applyNumberFormat="1" applyFont="1" applyAlignment="1">
      <alignment horizontal="right"/>
    </xf>
    <xf numFmtId="166" fontId="95" fillId="0" borderId="15" xfId="0" applyNumberFormat="1" applyFont="1" applyBorder="1" applyAlignment="1">
      <alignment wrapText="1"/>
    </xf>
    <xf numFmtId="0" fontId="95" fillId="0" borderId="0" xfId="0" applyFont="1" applyAlignment="1">
      <alignment/>
    </xf>
    <xf numFmtId="166" fontId="96" fillId="0" borderId="0" xfId="0" applyNumberFormat="1" applyFont="1" applyAlignment="1">
      <alignment horizontal="right"/>
    </xf>
    <xf numFmtId="4" fontId="95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168" fontId="18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9" fontId="1" fillId="0" borderId="4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5" fillId="0" borderId="42" xfId="0" applyNumberFormat="1" applyFont="1" applyFill="1" applyBorder="1" applyAlignment="1">
      <alignment horizontal="center" vertical="center"/>
    </xf>
    <xf numFmtId="2" fontId="5" fillId="45" borderId="43" xfId="52" applyNumberFormat="1" applyFont="1" applyFill="1" applyBorder="1">
      <alignment/>
      <protection/>
    </xf>
    <xf numFmtId="1" fontId="1" fillId="0" borderId="21" xfId="52" applyNumberFormat="1" applyFont="1" applyFill="1" applyBorder="1" applyAlignment="1">
      <alignment horizontal="right"/>
      <protection/>
    </xf>
    <xf numFmtId="2" fontId="1" fillId="0" borderId="21" xfId="52" applyNumberFormat="1" applyFont="1" applyFill="1" applyBorder="1">
      <alignment/>
      <protection/>
    </xf>
    <xf numFmtId="1" fontId="97" fillId="0" borderId="21" xfId="0" applyNumberFormat="1" applyFont="1" applyBorder="1" applyAlignment="1">
      <alignment horizontal="right"/>
    </xf>
    <xf numFmtId="49" fontId="41" fillId="0" borderId="19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68" fontId="40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14" xfId="52" applyFont="1" applyFill="1" applyBorder="1" applyAlignment="1">
      <alignment vertical="top" wrapText="1"/>
      <protection/>
    </xf>
    <xf numFmtId="0" fontId="42" fillId="0" borderId="0" xfId="0" applyFont="1" applyBorder="1" applyAlignment="1">
      <alignment/>
    </xf>
    <xf numFmtId="49" fontId="43" fillId="33" borderId="41" xfId="0" applyNumberFormat="1" applyFont="1" applyFill="1" applyBorder="1" applyAlignment="1">
      <alignment horizontal="center" vertical="center"/>
    </xf>
    <xf numFmtId="0" fontId="44" fillId="0" borderId="41" xfId="52" applyFont="1" applyFill="1" applyBorder="1" applyAlignment="1">
      <alignment vertical="top" wrapText="1"/>
      <protection/>
    </xf>
    <xf numFmtId="2" fontId="43" fillId="0" borderId="41" xfId="52" applyNumberFormat="1" applyFont="1" applyFill="1" applyBorder="1">
      <alignment/>
      <protection/>
    </xf>
    <xf numFmtId="2" fontId="45" fillId="0" borderId="0" xfId="0" applyNumberFormat="1" applyFont="1" applyFill="1" applyBorder="1" applyAlignment="1">
      <alignment/>
    </xf>
    <xf numFmtId="0" fontId="46" fillId="0" borderId="41" xfId="52" applyFont="1" applyFill="1" applyBorder="1" applyAlignment="1">
      <alignment vertical="top" wrapText="1"/>
      <protection/>
    </xf>
    <xf numFmtId="166" fontId="47" fillId="0" borderId="0" xfId="0" applyNumberFormat="1" applyFont="1" applyAlignment="1">
      <alignment/>
    </xf>
    <xf numFmtId="10" fontId="47" fillId="0" borderId="0" xfId="0" applyNumberFormat="1" applyFont="1" applyAlignment="1">
      <alignment/>
    </xf>
    <xf numFmtId="168" fontId="39" fillId="0" borderId="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Alignment="1">
      <alignment/>
    </xf>
    <xf numFmtId="2" fontId="4" fillId="0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/>
    </xf>
    <xf numFmtId="0" fontId="4" fillId="48" borderId="0" xfId="0" applyFont="1" applyFill="1" applyAlignment="1">
      <alignment/>
    </xf>
    <xf numFmtId="177" fontId="4" fillId="48" borderId="0" xfId="0" applyNumberFormat="1" applyFont="1" applyFill="1" applyAlignment="1">
      <alignment/>
    </xf>
    <xf numFmtId="49" fontId="4" fillId="48" borderId="0" xfId="0" applyNumberFormat="1" applyFont="1" applyFill="1" applyAlignment="1">
      <alignment horizontal="center" vertical="center"/>
    </xf>
    <xf numFmtId="177" fontId="4" fillId="48" borderId="0" xfId="0" applyNumberFormat="1" applyFont="1" applyFill="1" applyAlignment="1">
      <alignment horizontal="center" vertical="center"/>
    </xf>
    <xf numFmtId="0" fontId="3" fillId="48" borderId="0" xfId="0" applyFont="1" applyFill="1" applyAlignment="1">
      <alignment/>
    </xf>
    <xf numFmtId="177" fontId="3" fillId="48" borderId="0" xfId="0" applyNumberFormat="1" applyFont="1" applyFill="1" applyAlignment="1">
      <alignment/>
    </xf>
    <xf numFmtId="2" fontId="4" fillId="48" borderId="0" xfId="0" applyNumberFormat="1" applyFont="1" applyFill="1" applyAlignment="1">
      <alignment/>
    </xf>
    <xf numFmtId="0" fontId="44" fillId="0" borderId="0" xfId="52" applyFont="1" applyFill="1" applyBorder="1" applyAlignment="1">
      <alignment vertical="top" wrapText="1"/>
      <protection/>
    </xf>
    <xf numFmtId="2" fontId="43" fillId="0" borderId="0" xfId="52" applyNumberFormat="1" applyFont="1" applyFill="1" applyBorder="1">
      <alignment/>
      <protection/>
    </xf>
    <xf numFmtId="49" fontId="43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5" fillId="44" borderId="13" xfId="52" applyFont="1" applyFill="1" applyBorder="1" applyAlignment="1">
      <alignment vertical="top" wrapText="1"/>
      <protection/>
    </xf>
    <xf numFmtId="0" fontId="5" fillId="0" borderId="44" xfId="52" applyFont="1" applyFill="1" applyBorder="1" applyAlignment="1">
      <alignment vertical="top" wrapText="1"/>
      <protection/>
    </xf>
    <xf numFmtId="0" fontId="5" fillId="0" borderId="45" xfId="52" applyFont="1" applyFill="1" applyBorder="1" applyAlignment="1">
      <alignment vertical="top" wrapText="1"/>
      <protection/>
    </xf>
    <xf numFmtId="0" fontId="8" fillId="0" borderId="46" xfId="52" applyFont="1" applyBorder="1" applyAlignment="1">
      <alignment horizontal="center"/>
      <protection/>
    </xf>
    <xf numFmtId="0" fontId="8" fillId="0" borderId="47" xfId="52" applyFont="1" applyBorder="1" applyAlignment="1">
      <alignment horizontal="center"/>
      <protection/>
    </xf>
    <xf numFmtId="0" fontId="5" fillId="0" borderId="0" xfId="52" applyFont="1" applyFill="1" applyBorder="1" applyAlignment="1">
      <alignment vertical="top" wrapText="1"/>
      <protection/>
    </xf>
    <xf numFmtId="0" fontId="8" fillId="0" borderId="48" xfId="52" applyFont="1" applyBorder="1" applyAlignment="1">
      <alignment horizontal="center"/>
      <protection/>
    </xf>
    <xf numFmtId="0" fontId="3" fillId="0" borderId="49" xfId="0" applyFont="1" applyBorder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98" fillId="0" borderId="0" xfId="0" applyFont="1" applyAlignment="1">
      <alignment/>
    </xf>
    <xf numFmtId="1" fontId="97" fillId="0" borderId="21" xfId="0" applyNumberFormat="1" applyFont="1" applyFill="1" applyBorder="1" applyAlignment="1">
      <alignment horizontal="right"/>
    </xf>
    <xf numFmtId="0" fontId="48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Alignment="1">
      <alignment horizontal="right" vertical="center"/>
    </xf>
    <xf numFmtId="1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49" fontId="49" fillId="0" borderId="0" xfId="0" applyNumberFormat="1" applyFont="1" applyFill="1" applyAlignment="1">
      <alignment horizontal="right" vertical="center"/>
    </xf>
    <xf numFmtId="9" fontId="49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right"/>
    </xf>
    <xf numFmtId="9" fontId="50" fillId="0" borderId="0" xfId="0" applyNumberFormat="1" applyFont="1" applyAlignment="1">
      <alignment/>
    </xf>
    <xf numFmtId="0" fontId="0" fillId="49" borderId="0" xfId="0" applyFill="1" applyAlignment="1">
      <alignment/>
    </xf>
    <xf numFmtId="0" fontId="17" fillId="48" borderId="0" xfId="0" applyFont="1" applyFill="1" applyAlignment="1">
      <alignment/>
    </xf>
    <xf numFmtId="0" fontId="88" fillId="0" borderId="0" xfId="0" applyFont="1" applyAlignment="1">
      <alignment/>
    </xf>
    <xf numFmtId="0" fontId="88" fillId="49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93" fillId="0" borderId="0" xfId="53" applyFont="1">
      <alignment/>
      <protection/>
    </xf>
    <xf numFmtId="0" fontId="93" fillId="0" borderId="0" xfId="53" applyFont="1" applyFill="1">
      <alignment/>
      <protection/>
    </xf>
    <xf numFmtId="168" fontId="93" fillId="0" borderId="0" xfId="55" applyNumberFormat="1" applyFont="1">
      <alignment/>
      <protection/>
    </xf>
    <xf numFmtId="168" fontId="93" fillId="0" borderId="0" xfId="55" applyNumberFormat="1" applyFont="1" applyBorder="1">
      <alignment/>
      <protection/>
    </xf>
    <xf numFmtId="168" fontId="93" fillId="0" borderId="0" xfId="55" applyNumberFormat="1" applyFont="1" applyBorder="1">
      <alignment/>
      <protection/>
    </xf>
    <xf numFmtId="166" fontId="18" fillId="0" borderId="10" xfId="0" applyNumberFormat="1" applyFont="1" applyBorder="1" applyAlignment="1">
      <alignment/>
    </xf>
    <xf numFmtId="166" fontId="18" fillId="0" borderId="12" xfId="0" applyNumberFormat="1" applyFont="1" applyBorder="1" applyAlignment="1">
      <alignment/>
    </xf>
    <xf numFmtId="166" fontId="18" fillId="0" borderId="21" xfId="0" applyNumberFormat="1" applyFont="1" applyBorder="1" applyAlignment="1">
      <alignment/>
    </xf>
    <xf numFmtId="168" fontId="93" fillId="0" borderId="14" xfId="55" applyNumberFormat="1" applyFont="1" applyBorder="1">
      <alignment/>
      <protection/>
    </xf>
    <xf numFmtId="166" fontId="0" fillId="0" borderId="0" xfId="0" applyNumberFormat="1" applyFont="1" applyAlignment="1">
      <alignment/>
    </xf>
    <xf numFmtId="0" fontId="4" fillId="50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49" fontId="5" fillId="51" borderId="11" xfId="0" applyNumberFormat="1" applyFont="1" applyFill="1" applyBorder="1" applyAlignment="1">
      <alignment horizontal="center" vertical="center"/>
    </xf>
    <xf numFmtId="49" fontId="5" fillId="51" borderId="5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3" fillId="51" borderId="12" xfId="0" applyNumberFormat="1" applyFont="1" applyFill="1" applyBorder="1" applyAlignment="1">
      <alignment horizontal="center" vertical="center"/>
    </xf>
    <xf numFmtId="49" fontId="3" fillId="51" borderId="19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5" fillId="0" borderId="54" xfId="52" applyFont="1" applyBorder="1" applyAlignment="1">
      <alignment horizontal="center" vertical="center" wrapText="1"/>
      <protection/>
    </xf>
    <xf numFmtId="0" fontId="5" fillId="0" borderId="47" xfId="52" applyFont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49" fontId="1" fillId="33" borderId="11" xfId="42" applyNumberFormat="1" applyFont="1" applyFill="1" applyBorder="1" applyAlignment="1" applyProtection="1">
      <alignment horizontal="center" vertical="center"/>
      <protection/>
    </xf>
    <xf numFmtId="49" fontId="1" fillId="33" borderId="50" xfId="42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53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168" fontId="99" fillId="0" borderId="0" xfId="0" applyNumberFormat="1" applyFont="1" applyFill="1" applyBorder="1" applyAlignment="1">
      <alignment horizontal="center" vertical="center" textRotation="90" wrapText="1"/>
    </xf>
    <xf numFmtId="168" fontId="39" fillId="0" borderId="0" xfId="0" applyNumberFormat="1" applyFont="1" applyFill="1" applyBorder="1" applyAlignment="1">
      <alignment horizontal="center" vertical="center" textRotation="90" wrapText="1"/>
    </xf>
    <xf numFmtId="0" fontId="100" fillId="0" borderId="15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right" vertical="center" wrapText="1"/>
    </xf>
    <xf numFmtId="0" fontId="19" fillId="35" borderId="0" xfId="0" applyFont="1" applyFill="1" applyBorder="1" applyAlignment="1">
      <alignment horizontal="center" vertical="center" wrapText="1"/>
    </xf>
    <xf numFmtId="0" fontId="19" fillId="36" borderId="0" xfId="0" applyFont="1" applyFill="1" applyBorder="1" applyAlignment="1">
      <alignment horizontal="center" vertical="center" wrapText="1"/>
    </xf>
    <xf numFmtId="0" fontId="19" fillId="44" borderId="0" xfId="0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/>
    </xf>
    <xf numFmtId="0" fontId="17" fillId="0" borderId="0" xfId="0" applyFont="1" applyAlignment="1">
      <alignment/>
    </xf>
    <xf numFmtId="180" fontId="72" fillId="52" borderId="0" xfId="0" applyNumberFormat="1" applyFont="1" applyFill="1" applyAlignment="1">
      <alignment/>
    </xf>
    <xf numFmtId="180" fontId="73" fillId="52" borderId="0" xfId="0" applyNumberFormat="1" applyFont="1" applyFill="1" applyAlignment="1">
      <alignment/>
    </xf>
    <xf numFmtId="0" fontId="48" fillId="52" borderId="0" xfId="0" applyFont="1" applyFill="1" applyAlignment="1">
      <alignment/>
    </xf>
    <xf numFmtId="0" fontId="48" fillId="0" borderId="0" xfId="0" applyFont="1" applyFill="1" applyAlignment="1">
      <alignment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Uwaga 2" xfId="63"/>
    <cellStyle name="Currency" xfId="64"/>
    <cellStyle name="Currency [0]" xfId="65"/>
    <cellStyle name="Złe" xfId="66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3A2C7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2D050"/>
      <rgbColor rgb="00FF99CC"/>
      <rgbColor rgb="00CC99FF"/>
      <rgbColor rgb="00D9969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12"/>
          <c:w val="0.976"/>
          <c:h val="0.97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'RACHUNKI ZA GAZ rozbicie'!$A$6:$A$18</c:f>
              <c:strCache/>
            </c:strRef>
          </c:cat>
          <c:val>
            <c:numRef>
              <c:f>'RACHUNKI ZA GAZ rozbicie'!$B$6:$B$18</c:f>
              <c:numCache/>
            </c:numRef>
          </c:val>
        </c:ser>
        <c:ser>
          <c:idx val="1"/>
          <c:order val="1"/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'RACHUNKI ZA GAZ rozbicie'!$A$6:$A$18</c:f>
              <c:strCache/>
            </c:strRef>
          </c:cat>
          <c:val>
            <c:numRef>
              <c:f>'RACHUNKI ZA GAZ rozbicie'!$C$6:$C$18</c:f>
              <c:numCache/>
            </c:numRef>
          </c:val>
        </c:ser>
        <c:ser>
          <c:idx val="2"/>
          <c:order val="2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'RACHUNKI ZA GAZ rozbicie'!$A$6:$A$18</c:f>
              <c:strCache/>
            </c:strRef>
          </c:cat>
          <c:val>
            <c:numRef>
              <c:f>'RACHUNKI ZA GAZ rozbicie'!$D$6:$D$18</c:f>
              <c:numCache/>
            </c:numRef>
          </c:val>
        </c:ser>
        <c:overlap val="100"/>
        <c:axId val="61070555"/>
        <c:axId val="12764084"/>
      </c:barChart>
      <c:dateAx>
        <c:axId val="6107055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64084"/>
        <c:crossesAt val="0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2764084"/>
        <c:scaling>
          <c:orientation val="minMax"/>
          <c:max val="1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070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zcionka tekstu podstawowego"/>
          <a:ea typeface="Czcionka tekstu podstawowego"/>
          <a:cs typeface="Czcionka tekstu podstawowego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0.9635</cdr:y>
    </cdr:from>
    <cdr:to>
      <cdr:x>0.0815</cdr:x>
      <cdr:y>0.9635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0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0.0815</cdr:x>
      <cdr:y>0.9635</cdr:y>
    </cdr:from>
    <cdr:to>
      <cdr:x>0.0815</cdr:x>
      <cdr:y>0.9635</cdr:y>
    </cdr:to>
    <cdr:sp>
      <cdr:nvSpPr>
        <cdr:cNvPr id="2" name="Text Box 2"/>
        <cdr:cNvSpPr txBox="1">
          <a:spLocks noChangeArrowheads="1"/>
        </cdr:cNvSpPr>
      </cdr:nvSpPr>
      <cdr:spPr>
        <a:xfrm>
          <a:off x="1047750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0.0815</cdr:x>
      <cdr:y>0.9635</cdr:y>
    </cdr:from>
    <cdr:to>
      <cdr:x>0.0815</cdr:x>
      <cdr:y>0.9635</cdr:y>
    </cdr:to>
    <cdr:sp>
      <cdr:nvSpPr>
        <cdr:cNvPr id="3" name="Text Box 3"/>
        <cdr:cNvSpPr txBox="1">
          <a:spLocks noChangeArrowheads="1"/>
        </cdr:cNvSpPr>
      </cdr:nvSpPr>
      <cdr:spPr>
        <a:xfrm>
          <a:off x="1047750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0.0815</cdr:x>
      <cdr:y>0.9635</cdr:y>
    </cdr:from>
    <cdr:to>
      <cdr:x>0.0815</cdr:x>
      <cdr:y>0.9635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0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0.0815</cdr:x>
      <cdr:y>0.9635</cdr:y>
    </cdr:from>
    <cdr:to>
      <cdr:x>0.0815</cdr:x>
      <cdr:y>0.9635</cdr:y>
    </cdr:to>
    <cdr:sp>
      <cdr:nvSpPr>
        <cdr:cNvPr id="5" name="Text Box 5"/>
        <cdr:cNvSpPr txBox="1">
          <a:spLocks noChangeArrowheads="1"/>
        </cdr:cNvSpPr>
      </cdr:nvSpPr>
      <cdr:spPr>
        <a:xfrm>
          <a:off x="1047750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0.0815</cdr:x>
      <cdr:y>0.9635</cdr:y>
    </cdr:from>
    <cdr:to>
      <cdr:x>0.0815</cdr:x>
      <cdr:y>0.9635</cdr:y>
    </cdr:to>
    <cdr:sp>
      <cdr:nvSpPr>
        <cdr:cNvPr id="6" name="Text Box 6"/>
        <cdr:cNvSpPr txBox="1">
          <a:spLocks noChangeArrowheads="1"/>
        </cdr:cNvSpPr>
      </cdr:nvSpPr>
      <cdr:spPr>
        <a:xfrm>
          <a:off x="1047750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0.0815</cdr:x>
      <cdr:y>0.9635</cdr:y>
    </cdr:from>
    <cdr:to>
      <cdr:x>0.0815</cdr:x>
      <cdr:y>0.9635</cdr:y>
    </cdr:to>
    <cdr:sp>
      <cdr:nvSpPr>
        <cdr:cNvPr id="7" name="Text Box 7"/>
        <cdr:cNvSpPr txBox="1">
          <a:spLocks noChangeArrowheads="1"/>
        </cdr:cNvSpPr>
      </cdr:nvSpPr>
      <cdr:spPr>
        <a:xfrm>
          <a:off x="1047750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0.0815</cdr:x>
      <cdr:y>0.9635</cdr:y>
    </cdr:from>
    <cdr:to>
      <cdr:x>0.0815</cdr:x>
      <cdr:y>0.9635</cdr:y>
    </cdr:to>
    <cdr:sp>
      <cdr:nvSpPr>
        <cdr:cNvPr id="8" name="Text Box 8"/>
        <cdr:cNvSpPr txBox="1">
          <a:spLocks noChangeArrowheads="1"/>
        </cdr:cNvSpPr>
      </cdr:nvSpPr>
      <cdr:spPr>
        <a:xfrm>
          <a:off x="1047750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0.0815</cdr:x>
      <cdr:y>0.9635</cdr:y>
    </cdr:from>
    <cdr:to>
      <cdr:x>0.0815</cdr:x>
      <cdr:y>0.9635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0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152400</xdr:rowOff>
    </xdr:from>
    <xdr:to>
      <xdr:col>16</xdr:col>
      <xdr:colOff>676275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7600950" y="714375"/>
        <a:ext cx="128873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714375</xdr:colOff>
      <xdr:row>7</xdr:row>
      <xdr:rowOff>428625</xdr:rowOff>
    </xdr:from>
    <xdr:to>
      <xdr:col>10</xdr:col>
      <xdr:colOff>228600</xdr:colOff>
      <xdr:row>10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82375" y="2266950"/>
          <a:ext cx="1800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33</xdr:row>
      <xdr:rowOff>171450</xdr:rowOff>
    </xdr:from>
    <xdr:to>
      <xdr:col>4</xdr:col>
      <xdr:colOff>1447800</xdr:colOff>
      <xdr:row>35</xdr:row>
      <xdr:rowOff>247650</xdr:rowOff>
    </xdr:to>
    <xdr:sp>
      <xdr:nvSpPr>
        <xdr:cNvPr id="1" name="Łącznik prosty ze strzałką 4"/>
        <xdr:cNvSpPr>
          <a:spLocks/>
        </xdr:cNvSpPr>
      </xdr:nvSpPr>
      <xdr:spPr>
        <a:xfrm>
          <a:off x="3924300" y="6610350"/>
          <a:ext cx="1400175" cy="4476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4</xdr:col>
      <xdr:colOff>142875</xdr:colOff>
      <xdr:row>37</xdr:row>
      <xdr:rowOff>19050</xdr:rowOff>
    </xdr:from>
    <xdr:to>
      <xdr:col>4</xdr:col>
      <xdr:colOff>1438275</xdr:colOff>
      <xdr:row>40</xdr:row>
      <xdr:rowOff>57150</xdr:rowOff>
    </xdr:to>
    <xdr:sp>
      <xdr:nvSpPr>
        <xdr:cNvPr id="2" name="Łącznik prosty ze strzałką 6"/>
        <xdr:cNvSpPr>
          <a:spLocks/>
        </xdr:cNvSpPr>
      </xdr:nvSpPr>
      <xdr:spPr>
        <a:xfrm flipV="1">
          <a:off x="4019550" y="8086725"/>
          <a:ext cx="1295400" cy="58102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9</xdr:col>
      <xdr:colOff>1095375</xdr:colOff>
      <xdr:row>37</xdr:row>
      <xdr:rowOff>47625</xdr:rowOff>
    </xdr:from>
    <xdr:to>
      <xdr:col>11</xdr:col>
      <xdr:colOff>85725</xdr:colOff>
      <xdr:row>43</xdr:row>
      <xdr:rowOff>38100</xdr:rowOff>
    </xdr:to>
    <xdr:sp>
      <xdr:nvSpPr>
        <xdr:cNvPr id="3" name="Łącznik prosty ze strzałką 8"/>
        <xdr:cNvSpPr>
          <a:spLocks/>
        </xdr:cNvSpPr>
      </xdr:nvSpPr>
      <xdr:spPr>
        <a:xfrm flipV="1">
          <a:off x="9686925" y="8115300"/>
          <a:ext cx="1285875" cy="10953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47625</xdr:colOff>
      <xdr:row>33</xdr:row>
      <xdr:rowOff>161925</xdr:rowOff>
    </xdr:from>
    <xdr:to>
      <xdr:col>11</xdr:col>
      <xdr:colOff>1447800</xdr:colOff>
      <xdr:row>35</xdr:row>
      <xdr:rowOff>247650</xdr:rowOff>
    </xdr:to>
    <xdr:sp>
      <xdr:nvSpPr>
        <xdr:cNvPr id="4" name="Łącznik prosty ze strzałką 10"/>
        <xdr:cNvSpPr>
          <a:spLocks/>
        </xdr:cNvSpPr>
      </xdr:nvSpPr>
      <xdr:spPr>
        <a:xfrm>
          <a:off x="10934700" y="6600825"/>
          <a:ext cx="1400175" cy="4572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4</xdr:col>
      <xdr:colOff>238125</xdr:colOff>
      <xdr:row>35</xdr:row>
      <xdr:rowOff>1057275</xdr:rowOff>
    </xdr:from>
    <xdr:to>
      <xdr:col>10</xdr:col>
      <xdr:colOff>228600</xdr:colOff>
      <xdr:row>42</xdr:row>
      <xdr:rowOff>66675</xdr:rowOff>
    </xdr:to>
    <xdr:sp>
      <xdr:nvSpPr>
        <xdr:cNvPr id="5" name="Łącznik łamany 20"/>
        <xdr:cNvSpPr>
          <a:spLocks/>
        </xdr:cNvSpPr>
      </xdr:nvSpPr>
      <xdr:spPr>
        <a:xfrm flipV="1">
          <a:off x="4114800" y="7867650"/>
          <a:ext cx="5943600" cy="11811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M2" sqref="M2:M32"/>
    </sheetView>
  </sheetViews>
  <sheetFormatPr defaultColWidth="8.796875" defaultRowHeight="14.25"/>
  <cols>
    <col min="4" max="4" width="9" style="84" customWidth="1"/>
    <col min="5" max="5" width="9" style="343" customWidth="1"/>
    <col min="6" max="6" width="9.69921875" style="342" bestFit="1" customWidth="1"/>
    <col min="7" max="7" width="9" style="343" customWidth="1"/>
    <col min="9" max="9" width="4" style="0" bestFit="1" customWidth="1"/>
    <col min="10" max="10" width="3" style="0" bestFit="1" customWidth="1"/>
    <col min="11" max="11" width="4" style="0" bestFit="1" customWidth="1"/>
    <col min="12" max="12" width="3" style="0" bestFit="1" customWidth="1"/>
    <col min="13" max="13" width="9" style="271" customWidth="1"/>
  </cols>
  <sheetData>
    <row r="1" spans="1:13" s="265" customFormat="1" ht="12">
      <c r="A1" s="265" t="s">
        <v>37</v>
      </c>
      <c r="C1" s="265" t="s">
        <v>119</v>
      </c>
      <c r="D1" s="347" t="s">
        <v>118</v>
      </c>
      <c r="E1" s="344">
        <v>45032</v>
      </c>
      <c r="F1" s="345">
        <v>45077</v>
      </c>
      <c r="G1" s="344">
        <v>45101</v>
      </c>
      <c r="H1" s="266"/>
      <c r="I1" s="346">
        <f>DAYS360(E1,G1)</f>
        <v>68</v>
      </c>
      <c r="J1" s="346" t="s">
        <v>107</v>
      </c>
      <c r="K1" s="267">
        <f>DAYS360(E1,F1)</f>
        <v>45</v>
      </c>
      <c r="L1" s="267" t="s">
        <v>107</v>
      </c>
      <c r="M1" s="269" t="s">
        <v>108</v>
      </c>
    </row>
    <row r="2" spans="1:13" ht="15">
      <c r="A2">
        <v>1</v>
      </c>
      <c r="B2">
        <v>13</v>
      </c>
      <c r="C2" s="280">
        <v>15</v>
      </c>
      <c r="D2" s="84">
        <f>C2-B2</f>
        <v>2</v>
      </c>
      <c r="E2" s="281">
        <v>1</v>
      </c>
      <c r="F2" s="342">
        <f>(G2-E2)/$I$1*$K$1+E2</f>
        <v>1</v>
      </c>
      <c r="G2" s="281">
        <v>1</v>
      </c>
      <c r="M2" s="270">
        <f>INT(D2+F2)</f>
        <v>3</v>
      </c>
    </row>
    <row r="3" spans="1:13" ht="15">
      <c r="A3">
        <v>2</v>
      </c>
      <c r="B3">
        <v>38</v>
      </c>
      <c r="C3" s="280">
        <v>43</v>
      </c>
      <c r="D3" s="84">
        <f aca="true" t="shared" si="0" ref="D3:D32">C3-B3</f>
        <v>5</v>
      </c>
      <c r="E3" s="281">
        <v>3</v>
      </c>
      <c r="F3" s="342">
        <f>(G3-E3)/$I$1*$K$1+E3</f>
        <v>3.661764705882353</v>
      </c>
      <c r="G3" s="281">
        <v>4</v>
      </c>
      <c r="M3" s="270">
        <f aca="true" t="shared" si="1" ref="M3:M32">INT(D3+F3)</f>
        <v>8</v>
      </c>
    </row>
    <row r="4" spans="1:13" ht="15">
      <c r="A4">
        <v>3</v>
      </c>
      <c r="B4">
        <v>77</v>
      </c>
      <c r="C4" s="280">
        <v>86</v>
      </c>
      <c r="D4" s="84">
        <f t="shared" si="0"/>
        <v>9</v>
      </c>
      <c r="E4" s="281">
        <v>6</v>
      </c>
      <c r="F4" s="342">
        <f aca="true" t="shared" si="2" ref="F4:F32">(G4-E4)/$I$1*$K$1+E4</f>
        <v>8.647058823529411</v>
      </c>
      <c r="G4" s="281">
        <v>10</v>
      </c>
      <c r="M4" s="270">
        <f t="shared" si="1"/>
        <v>17</v>
      </c>
    </row>
    <row r="5" spans="1:13" ht="15">
      <c r="A5" s="282">
        <v>4</v>
      </c>
      <c r="B5" s="282">
        <v>87</v>
      </c>
      <c r="C5" s="283">
        <v>98</v>
      </c>
      <c r="D5" s="84">
        <f t="shared" si="0"/>
        <v>11</v>
      </c>
      <c r="E5" s="281">
        <v>8</v>
      </c>
      <c r="F5" s="342">
        <f>(G5-E5)/$I$1*$K$1+E5</f>
        <v>10.647058823529411</v>
      </c>
      <c r="G5" s="281">
        <v>12</v>
      </c>
      <c r="M5" s="270">
        <f t="shared" si="1"/>
        <v>21</v>
      </c>
    </row>
    <row r="6" spans="1:13" s="282" customFormat="1" ht="15">
      <c r="A6" s="282">
        <v>5</v>
      </c>
      <c r="B6" s="282">
        <v>17</v>
      </c>
      <c r="C6" s="283">
        <v>57</v>
      </c>
      <c r="D6" s="84">
        <f t="shared" si="0"/>
        <v>40</v>
      </c>
      <c r="E6" s="281">
        <v>0</v>
      </c>
      <c r="F6" s="342">
        <f t="shared" si="2"/>
        <v>0</v>
      </c>
      <c r="G6" s="281">
        <v>0</v>
      </c>
      <c r="M6" s="270">
        <f t="shared" si="1"/>
        <v>40</v>
      </c>
    </row>
    <row r="7" spans="1:13" ht="15">
      <c r="A7">
        <v>6</v>
      </c>
      <c r="B7">
        <v>61</v>
      </c>
      <c r="C7" s="280">
        <v>73</v>
      </c>
      <c r="D7" s="84">
        <f t="shared" si="0"/>
        <v>12</v>
      </c>
      <c r="E7" s="281">
        <v>9</v>
      </c>
      <c r="F7" s="342">
        <f t="shared" si="2"/>
        <v>10.323529411764707</v>
      </c>
      <c r="G7" s="281">
        <v>11</v>
      </c>
      <c r="M7" s="270">
        <f t="shared" si="1"/>
        <v>22</v>
      </c>
    </row>
    <row r="8" spans="1:13" ht="15">
      <c r="A8">
        <v>7</v>
      </c>
      <c r="B8">
        <v>205</v>
      </c>
      <c r="C8" s="280">
        <v>238</v>
      </c>
      <c r="D8" s="84">
        <f t="shared" si="0"/>
        <v>33</v>
      </c>
      <c r="E8" s="281">
        <v>14</v>
      </c>
      <c r="F8" s="342">
        <f t="shared" si="2"/>
        <v>19.955882352941178</v>
      </c>
      <c r="G8" s="281">
        <v>23</v>
      </c>
      <c r="M8" s="270">
        <f t="shared" si="1"/>
        <v>52</v>
      </c>
    </row>
    <row r="9" spans="1:13" ht="15">
      <c r="A9">
        <v>8</v>
      </c>
      <c r="B9">
        <v>69</v>
      </c>
      <c r="C9" s="280">
        <v>84</v>
      </c>
      <c r="D9" s="84">
        <f t="shared" si="0"/>
        <v>15</v>
      </c>
      <c r="E9" s="281">
        <v>8</v>
      </c>
      <c r="F9" s="342">
        <f t="shared" si="2"/>
        <v>11.308823529411764</v>
      </c>
      <c r="G9" s="281">
        <v>13</v>
      </c>
      <c r="M9" s="270">
        <f t="shared" si="1"/>
        <v>26</v>
      </c>
    </row>
    <row r="10" spans="1:13" ht="15">
      <c r="A10">
        <v>9</v>
      </c>
      <c r="B10">
        <v>48</v>
      </c>
      <c r="C10" s="280">
        <v>55</v>
      </c>
      <c r="D10" s="84">
        <f t="shared" si="0"/>
        <v>7</v>
      </c>
      <c r="E10" s="281">
        <v>18</v>
      </c>
      <c r="F10" s="342">
        <f t="shared" si="2"/>
        <v>20.647058823529413</v>
      </c>
      <c r="G10" s="281">
        <v>22</v>
      </c>
      <c r="M10" s="270">
        <f t="shared" si="1"/>
        <v>27</v>
      </c>
    </row>
    <row r="11" spans="1:13" ht="15">
      <c r="A11">
        <v>10</v>
      </c>
      <c r="B11">
        <v>50</v>
      </c>
      <c r="C11" s="280">
        <v>58</v>
      </c>
      <c r="D11" s="84">
        <f t="shared" si="0"/>
        <v>8</v>
      </c>
      <c r="E11" s="281">
        <v>4</v>
      </c>
      <c r="F11" s="342">
        <f t="shared" si="2"/>
        <v>5.985294117647059</v>
      </c>
      <c r="G11" s="281">
        <v>7</v>
      </c>
      <c r="M11" s="270">
        <f t="shared" si="1"/>
        <v>13</v>
      </c>
    </row>
    <row r="12" spans="1:13" ht="15">
      <c r="A12">
        <v>11</v>
      </c>
      <c r="B12">
        <v>222</v>
      </c>
      <c r="C12" s="280">
        <v>229</v>
      </c>
      <c r="D12" s="84">
        <f t="shared" si="0"/>
        <v>7</v>
      </c>
      <c r="E12" s="281">
        <v>5</v>
      </c>
      <c r="F12" s="342">
        <f t="shared" si="2"/>
        <v>6.985294117647059</v>
      </c>
      <c r="G12" s="281">
        <v>8</v>
      </c>
      <c r="M12" s="270">
        <f t="shared" si="1"/>
        <v>13</v>
      </c>
    </row>
    <row r="13" spans="1:13" ht="15">
      <c r="A13">
        <v>12</v>
      </c>
      <c r="B13">
        <v>167</v>
      </c>
      <c r="C13" s="280">
        <v>178</v>
      </c>
      <c r="D13" s="84">
        <f t="shared" si="0"/>
        <v>11</v>
      </c>
      <c r="E13" s="281">
        <v>10</v>
      </c>
      <c r="F13" s="342">
        <f t="shared" si="2"/>
        <v>14.632352941176471</v>
      </c>
      <c r="G13" s="281">
        <v>17</v>
      </c>
      <c r="M13" s="270">
        <f t="shared" si="1"/>
        <v>25</v>
      </c>
    </row>
    <row r="14" spans="1:13" ht="15">
      <c r="A14">
        <v>13</v>
      </c>
      <c r="B14">
        <v>178</v>
      </c>
      <c r="C14" s="280">
        <v>202</v>
      </c>
      <c r="D14" s="84">
        <f t="shared" si="0"/>
        <v>24</v>
      </c>
      <c r="E14" s="281">
        <v>15</v>
      </c>
      <c r="F14" s="342">
        <f t="shared" si="2"/>
        <v>18.308823529411764</v>
      </c>
      <c r="G14" s="281">
        <v>20</v>
      </c>
      <c r="M14" s="270">
        <f t="shared" si="1"/>
        <v>42</v>
      </c>
    </row>
    <row r="15" spans="1:13" ht="15">
      <c r="A15">
        <v>14</v>
      </c>
      <c r="B15">
        <v>117</v>
      </c>
      <c r="C15" s="280">
        <v>126</v>
      </c>
      <c r="D15" s="84">
        <f t="shared" si="0"/>
        <v>9</v>
      </c>
      <c r="E15" s="281">
        <v>12</v>
      </c>
      <c r="F15" s="342">
        <f t="shared" si="2"/>
        <v>16.63235294117647</v>
      </c>
      <c r="G15" s="281">
        <v>19</v>
      </c>
      <c r="M15" s="270">
        <f t="shared" si="1"/>
        <v>25</v>
      </c>
    </row>
    <row r="16" spans="1:13" ht="15">
      <c r="A16">
        <v>15</v>
      </c>
      <c r="B16">
        <v>159</v>
      </c>
      <c r="C16" s="280">
        <v>176</v>
      </c>
      <c r="D16" s="84">
        <f t="shared" si="0"/>
        <v>17</v>
      </c>
      <c r="E16" s="281">
        <v>11</v>
      </c>
      <c r="F16" s="342">
        <f t="shared" si="2"/>
        <v>14.308823529411764</v>
      </c>
      <c r="G16" s="281">
        <v>16</v>
      </c>
      <c r="M16" s="270">
        <f t="shared" si="1"/>
        <v>31</v>
      </c>
    </row>
    <row r="17" spans="1:13" ht="15">
      <c r="A17">
        <v>16</v>
      </c>
      <c r="B17">
        <v>93</v>
      </c>
      <c r="C17" s="280">
        <v>109</v>
      </c>
      <c r="D17" s="84">
        <f t="shared" si="0"/>
        <v>16</v>
      </c>
      <c r="E17" s="281">
        <v>8</v>
      </c>
      <c r="F17" s="342">
        <f t="shared" si="2"/>
        <v>11.308823529411764</v>
      </c>
      <c r="G17" s="281">
        <v>13</v>
      </c>
      <c r="M17" s="270">
        <f t="shared" si="1"/>
        <v>27</v>
      </c>
    </row>
    <row r="18" spans="1:13" s="282" customFormat="1" ht="15">
      <c r="A18" s="282">
        <v>17</v>
      </c>
      <c r="B18" s="282">
        <v>51</v>
      </c>
      <c r="C18" s="283">
        <v>52</v>
      </c>
      <c r="D18" s="84">
        <f t="shared" si="0"/>
        <v>1</v>
      </c>
      <c r="E18" s="281">
        <v>9</v>
      </c>
      <c r="F18" s="342">
        <f t="shared" si="2"/>
        <v>10.323529411764707</v>
      </c>
      <c r="G18" s="281">
        <v>11</v>
      </c>
      <c r="M18" s="270">
        <f t="shared" si="1"/>
        <v>11</v>
      </c>
    </row>
    <row r="19" spans="1:13" s="282" customFormat="1" ht="15">
      <c r="A19" s="282">
        <v>18</v>
      </c>
      <c r="B19" s="282">
        <v>38</v>
      </c>
      <c r="C19" s="283">
        <v>42</v>
      </c>
      <c r="D19" s="84">
        <f t="shared" si="0"/>
        <v>4</v>
      </c>
      <c r="E19" s="281">
        <v>3</v>
      </c>
      <c r="F19" s="342">
        <f t="shared" si="2"/>
        <v>4.323529411764706</v>
      </c>
      <c r="G19" s="281">
        <v>5</v>
      </c>
      <c r="M19" s="270">
        <f t="shared" si="1"/>
        <v>8</v>
      </c>
    </row>
    <row r="20" spans="1:13" s="282" customFormat="1" ht="15">
      <c r="A20" s="282">
        <v>19</v>
      </c>
      <c r="B20" s="282">
        <v>42</v>
      </c>
      <c r="C20" s="283">
        <v>48</v>
      </c>
      <c r="D20" s="84">
        <f t="shared" si="0"/>
        <v>6</v>
      </c>
      <c r="E20" s="281">
        <v>1475</v>
      </c>
      <c r="F20" s="342">
        <f t="shared" si="2"/>
        <v>1475.6617647058824</v>
      </c>
      <c r="G20" s="281">
        <v>1476</v>
      </c>
      <c r="M20" s="270">
        <f>INT(D20+F20)-1473</f>
        <v>8</v>
      </c>
    </row>
    <row r="21" spans="1:13" s="282" customFormat="1" ht="15">
      <c r="A21" s="282">
        <v>20</v>
      </c>
      <c r="B21" s="282">
        <v>101</v>
      </c>
      <c r="C21" s="283">
        <v>111</v>
      </c>
      <c r="D21" s="84">
        <f t="shared" si="0"/>
        <v>10</v>
      </c>
      <c r="E21" s="281">
        <v>5</v>
      </c>
      <c r="F21" s="342">
        <f t="shared" si="2"/>
        <v>6.985294117647059</v>
      </c>
      <c r="G21" s="281">
        <v>8</v>
      </c>
      <c r="M21" s="270">
        <f t="shared" si="1"/>
        <v>16</v>
      </c>
    </row>
    <row r="22" spans="1:13" ht="15">
      <c r="A22">
        <v>21</v>
      </c>
      <c r="B22">
        <v>114</v>
      </c>
      <c r="C22" s="280">
        <v>132</v>
      </c>
      <c r="D22" s="84">
        <f t="shared" si="0"/>
        <v>18</v>
      </c>
      <c r="E22" s="281">
        <v>0</v>
      </c>
      <c r="F22" s="342">
        <f t="shared" si="2"/>
        <v>0</v>
      </c>
      <c r="G22" s="281">
        <v>0</v>
      </c>
      <c r="M22" s="270">
        <f t="shared" si="1"/>
        <v>18</v>
      </c>
    </row>
    <row r="23" spans="1:13" ht="15">
      <c r="A23">
        <v>22</v>
      </c>
      <c r="B23">
        <v>92</v>
      </c>
      <c r="C23" s="280">
        <v>107</v>
      </c>
      <c r="D23" s="84">
        <f t="shared" si="0"/>
        <v>15</v>
      </c>
      <c r="E23" s="281">
        <v>0</v>
      </c>
      <c r="F23" s="342">
        <f t="shared" si="2"/>
        <v>0</v>
      </c>
      <c r="G23" s="281">
        <v>0</v>
      </c>
      <c r="M23" s="270">
        <f t="shared" si="1"/>
        <v>15</v>
      </c>
    </row>
    <row r="24" spans="1:13" ht="15">
      <c r="A24">
        <v>23</v>
      </c>
      <c r="B24">
        <v>107</v>
      </c>
      <c r="C24" s="280">
        <v>120</v>
      </c>
      <c r="D24" s="84">
        <f t="shared" si="0"/>
        <v>13</v>
      </c>
      <c r="E24" s="281">
        <v>9</v>
      </c>
      <c r="F24" s="342">
        <f t="shared" si="2"/>
        <v>12.308823529411764</v>
      </c>
      <c r="G24" s="281">
        <v>14</v>
      </c>
      <c r="M24" s="270">
        <f t="shared" si="1"/>
        <v>25</v>
      </c>
    </row>
    <row r="25" spans="1:13" ht="15">
      <c r="A25">
        <v>24</v>
      </c>
      <c r="B25">
        <v>81</v>
      </c>
      <c r="C25" s="280">
        <v>81</v>
      </c>
      <c r="D25" s="84">
        <f t="shared" si="0"/>
        <v>0</v>
      </c>
      <c r="E25" s="281">
        <v>0</v>
      </c>
      <c r="F25" s="342">
        <f t="shared" si="2"/>
        <v>1.9852941176470589</v>
      </c>
      <c r="G25" s="281">
        <v>3</v>
      </c>
      <c r="M25" s="270">
        <f t="shared" si="1"/>
        <v>1</v>
      </c>
    </row>
    <row r="26" spans="1:13" s="282" customFormat="1" ht="15">
      <c r="A26" s="282">
        <v>25</v>
      </c>
      <c r="B26" s="282">
        <v>66</v>
      </c>
      <c r="C26" s="283">
        <v>71</v>
      </c>
      <c r="D26" s="84">
        <f t="shared" si="0"/>
        <v>5</v>
      </c>
      <c r="E26" s="281">
        <v>8</v>
      </c>
      <c r="F26" s="342">
        <f t="shared" si="2"/>
        <v>9.985294117647058</v>
      </c>
      <c r="G26" s="281">
        <v>11</v>
      </c>
      <c r="M26" s="270">
        <f t="shared" si="1"/>
        <v>14</v>
      </c>
    </row>
    <row r="27" spans="1:13" ht="15">
      <c r="A27">
        <v>26</v>
      </c>
      <c r="B27">
        <v>155</v>
      </c>
      <c r="C27" s="280">
        <v>171</v>
      </c>
      <c r="D27" s="84">
        <f t="shared" si="0"/>
        <v>16</v>
      </c>
      <c r="E27" s="281">
        <v>12</v>
      </c>
      <c r="F27" s="342">
        <f t="shared" si="2"/>
        <v>13.985294117647058</v>
      </c>
      <c r="G27" s="281">
        <v>15</v>
      </c>
      <c r="M27" s="270">
        <f t="shared" si="1"/>
        <v>29</v>
      </c>
    </row>
    <row r="28" spans="1:13" ht="15">
      <c r="A28">
        <v>27</v>
      </c>
      <c r="B28">
        <v>125</v>
      </c>
      <c r="C28" s="280">
        <v>139</v>
      </c>
      <c r="D28" s="84">
        <f t="shared" si="0"/>
        <v>14</v>
      </c>
      <c r="E28" s="281">
        <v>9</v>
      </c>
      <c r="F28" s="342">
        <f t="shared" si="2"/>
        <v>12.308823529411764</v>
      </c>
      <c r="G28" s="281">
        <v>14</v>
      </c>
      <c r="M28" s="270">
        <f t="shared" si="1"/>
        <v>26</v>
      </c>
    </row>
    <row r="29" spans="1:13" ht="15">
      <c r="A29">
        <v>28</v>
      </c>
      <c r="B29">
        <v>66</v>
      </c>
      <c r="C29" s="280">
        <v>79</v>
      </c>
      <c r="D29" s="84">
        <f t="shared" si="0"/>
        <v>13</v>
      </c>
      <c r="E29" s="281">
        <v>7</v>
      </c>
      <c r="F29" s="342">
        <f t="shared" si="2"/>
        <v>10.970588235294118</v>
      </c>
      <c r="G29" s="281">
        <v>13</v>
      </c>
      <c r="M29" s="270">
        <f t="shared" si="1"/>
        <v>23</v>
      </c>
    </row>
    <row r="30" spans="1:13" ht="15">
      <c r="A30">
        <v>29</v>
      </c>
      <c r="B30">
        <v>141</v>
      </c>
      <c r="C30" s="280">
        <v>164</v>
      </c>
      <c r="D30" s="84">
        <f t="shared" si="0"/>
        <v>23</v>
      </c>
      <c r="E30" s="281">
        <v>15</v>
      </c>
      <c r="F30" s="342">
        <f t="shared" si="2"/>
        <v>20.955882352941178</v>
      </c>
      <c r="G30" s="281">
        <v>24</v>
      </c>
      <c r="M30" s="270">
        <f t="shared" si="1"/>
        <v>43</v>
      </c>
    </row>
    <row r="31" spans="1:13" ht="15">
      <c r="A31">
        <v>30</v>
      </c>
      <c r="B31">
        <v>114</v>
      </c>
      <c r="C31" s="280">
        <f>52+67</f>
        <v>119</v>
      </c>
      <c r="D31" s="84">
        <f t="shared" si="0"/>
        <v>5</v>
      </c>
      <c r="E31" s="281">
        <f>0+3</f>
        <v>3</v>
      </c>
      <c r="F31" s="342">
        <f t="shared" si="2"/>
        <v>4.985294117647059</v>
      </c>
      <c r="G31" s="281">
        <f>1+5</f>
        <v>6</v>
      </c>
      <c r="M31" s="270">
        <f t="shared" si="1"/>
        <v>9</v>
      </c>
    </row>
    <row r="32" spans="1:13" ht="15">
      <c r="A32">
        <v>31</v>
      </c>
      <c r="B32">
        <v>81</v>
      </c>
      <c r="C32" s="280">
        <v>93</v>
      </c>
      <c r="D32" s="84">
        <f t="shared" si="0"/>
        <v>12</v>
      </c>
      <c r="E32" s="281">
        <v>8</v>
      </c>
      <c r="F32" s="342">
        <f t="shared" si="2"/>
        <v>10.647058823529411</v>
      </c>
      <c r="G32" s="281">
        <v>12</v>
      </c>
      <c r="M32" s="270">
        <f t="shared" si="1"/>
        <v>22</v>
      </c>
    </row>
  </sheetData>
  <sheetProtection/>
  <conditionalFormatting sqref="M2:M32">
    <cfRule type="cellIs" priority="1" dxfId="7" operator="lessThan" stopIfTrue="1">
      <formula>1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38"/>
  <sheetViews>
    <sheetView zoomScalePageLayoutView="0" workbookViewId="0" topLeftCell="BX21">
      <selection activeCell="CR36" sqref="CR36"/>
    </sheetView>
  </sheetViews>
  <sheetFormatPr defaultColWidth="8.796875" defaultRowHeight="14.25"/>
  <cols>
    <col min="1" max="1" width="7.8984375" style="1" customWidth="1"/>
    <col min="2" max="2" width="3.09765625" style="2" customWidth="1"/>
    <col min="3" max="3" width="13" style="3" hidden="1" customWidth="1"/>
    <col min="4" max="4" width="3.19921875" style="3" hidden="1" customWidth="1"/>
    <col min="5" max="5" width="10" style="4" hidden="1" customWidth="1"/>
    <col min="6" max="6" width="8" style="3" hidden="1" customWidth="1"/>
    <col min="7" max="7" width="7.5" style="3" hidden="1" customWidth="1"/>
    <col min="8" max="8" width="3.19921875" style="3" hidden="1" customWidth="1"/>
    <col min="9" max="9" width="8" style="5" hidden="1" customWidth="1"/>
    <col min="10" max="10" width="7.5" style="6" hidden="1" customWidth="1"/>
    <col min="11" max="11" width="8" style="7" hidden="1" customWidth="1"/>
    <col min="12" max="12" width="7.5" style="8" hidden="1" customWidth="1"/>
    <col min="13" max="13" width="3.19921875" style="8" hidden="1" customWidth="1"/>
    <col min="14" max="14" width="10" style="6" hidden="1" customWidth="1"/>
    <col min="15" max="15" width="8" style="8" hidden="1" customWidth="1"/>
    <col min="16" max="16" width="7.5" style="8" hidden="1" customWidth="1"/>
    <col min="17" max="17" width="3.19921875" style="8" hidden="1" customWidth="1"/>
    <col min="18" max="18" width="8" style="6" hidden="1" customWidth="1"/>
    <col min="19" max="19" width="7.5" style="6" hidden="1" customWidth="1"/>
    <col min="20" max="20" width="9.59765625" style="8" hidden="1" customWidth="1"/>
    <col min="21" max="21" width="7.5" style="8" hidden="1" customWidth="1"/>
    <col min="22" max="22" width="3.09765625" style="2" hidden="1" customWidth="1"/>
    <col min="23" max="26" width="7.8984375" style="2" hidden="1" customWidth="1"/>
    <col min="27" max="27" width="3" style="27" hidden="1" customWidth="1"/>
    <col min="28" max="31" width="7.8984375" style="2" hidden="1" customWidth="1"/>
    <col min="32" max="32" width="1.69921875" style="2" hidden="1" customWidth="1"/>
    <col min="33" max="33" width="7.8984375" style="138" hidden="1" customWidth="1"/>
    <col min="34" max="36" width="7.8984375" style="2" hidden="1" customWidth="1"/>
    <col min="37" max="37" width="2.69921875" style="2" hidden="1" customWidth="1"/>
    <col min="38" max="41" width="7.8984375" style="2" hidden="1" customWidth="1"/>
    <col min="42" max="42" width="4.3984375" style="27" hidden="1" customWidth="1"/>
    <col min="43" max="46" width="7.8984375" style="2" hidden="1" customWidth="1"/>
    <col min="47" max="47" width="4.09765625" style="8" hidden="1" customWidth="1"/>
    <col min="48" max="52" width="7.8984375" style="2" customWidth="1"/>
    <col min="53" max="53" width="3.19921875" style="8" customWidth="1"/>
    <col min="54" max="57" width="7.8984375" style="2" customWidth="1"/>
    <col min="58" max="58" width="6.3984375" style="231" hidden="1" customWidth="1"/>
    <col min="59" max="59" width="1.69921875" style="231" customWidth="1"/>
    <col min="60" max="64" width="7.8984375" style="2" customWidth="1"/>
    <col min="65" max="65" width="3.5" style="231" customWidth="1"/>
    <col min="66" max="67" width="4.8984375" style="246" hidden="1" customWidth="1"/>
    <col min="68" max="68" width="5.5" style="247" hidden="1" customWidth="1"/>
    <col min="69" max="69" width="5.69921875" style="247" hidden="1" customWidth="1"/>
    <col min="70" max="70" width="2.59765625" style="2" hidden="1" customWidth="1"/>
    <col min="71" max="71" width="3.19921875" style="2" hidden="1" customWidth="1"/>
    <col min="72" max="72" width="6.09765625" style="241" hidden="1" customWidth="1"/>
    <col min="73" max="73" width="9" style="187" hidden="1" customWidth="1"/>
    <col min="74" max="77" width="7.8984375" style="2" customWidth="1"/>
    <col min="78" max="78" width="2.5" style="2" customWidth="1"/>
    <col min="79" max="82" width="7.8984375" style="2" customWidth="1"/>
    <col min="83" max="83" width="2.09765625" style="2" customWidth="1"/>
    <col min="84" max="87" width="7.8984375" style="2" customWidth="1"/>
    <col min="88" max="88" width="3.5" style="256" customWidth="1"/>
    <col min="89" max="89" width="7.8984375" style="1" customWidth="1"/>
    <col min="90" max="90" width="9" style="272" customWidth="1"/>
    <col min="91" max="91" width="9.69921875" style="188" customWidth="1"/>
    <col min="92" max="92" width="9" style="272" customWidth="1"/>
    <col min="93" max="93" width="9.69921875" style="188" customWidth="1"/>
    <col min="94" max="16384" width="9" style="2" customWidth="1"/>
  </cols>
  <sheetData>
    <row r="1" spans="11:88" ht="14.25" customHeight="1"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W1" s="305"/>
      <c r="X1" s="305"/>
      <c r="Y1" s="305"/>
      <c r="Z1" s="305"/>
      <c r="AA1" s="133"/>
      <c r="AB1" s="305"/>
      <c r="AC1" s="305"/>
      <c r="AD1" s="305"/>
      <c r="AE1" s="305"/>
      <c r="AF1" s="133"/>
      <c r="AK1" s="133"/>
      <c r="AL1" s="305"/>
      <c r="AM1" s="305"/>
      <c r="AN1" s="305"/>
      <c r="AO1" s="305"/>
      <c r="AQ1" s="305"/>
      <c r="AR1" s="305"/>
      <c r="AS1" s="305"/>
      <c r="AT1" s="305"/>
      <c r="AU1" s="133"/>
      <c r="AV1" s="305"/>
      <c r="AW1" s="305"/>
      <c r="AX1" s="305"/>
      <c r="AY1" s="305"/>
      <c r="AZ1" s="305"/>
      <c r="BA1" s="133"/>
      <c r="BB1" s="305"/>
      <c r="BC1" s="305"/>
      <c r="BD1" s="305"/>
      <c r="BE1" s="305"/>
      <c r="BH1" s="305"/>
      <c r="BI1" s="305"/>
      <c r="BJ1" s="305"/>
      <c r="BK1" s="305"/>
      <c r="BL1" s="305"/>
      <c r="BV1" s="305"/>
      <c r="BW1" s="306"/>
      <c r="BX1" s="306"/>
      <c r="BY1" s="306"/>
      <c r="BZ1" s="133"/>
      <c r="CA1" s="305" t="s">
        <v>0</v>
      </c>
      <c r="CB1" s="306"/>
      <c r="CC1" s="306"/>
      <c r="CD1" s="306"/>
      <c r="CE1" s="284"/>
      <c r="CF1" s="295" t="s">
        <v>0</v>
      </c>
      <c r="CG1" s="296"/>
      <c r="CH1" s="296"/>
      <c r="CI1" s="296"/>
      <c r="CJ1" s="133"/>
    </row>
    <row r="2" spans="1:93" s="9" customFormat="1" ht="12.75" customHeight="1">
      <c r="A2" s="324" t="s">
        <v>1</v>
      </c>
      <c r="C2" s="10" t="s">
        <v>2</v>
      </c>
      <c r="D2" s="11"/>
      <c r="E2" s="12" t="s">
        <v>3</v>
      </c>
      <c r="F2" s="327" t="s">
        <v>2</v>
      </c>
      <c r="G2" s="328"/>
      <c r="H2" s="11"/>
      <c r="I2" s="322" t="s">
        <v>3</v>
      </c>
      <c r="J2" s="322"/>
      <c r="K2" s="323" t="s">
        <v>2</v>
      </c>
      <c r="L2" s="323"/>
      <c r="N2" s="12" t="s">
        <v>3</v>
      </c>
      <c r="O2" s="323" t="s">
        <v>2</v>
      </c>
      <c r="P2" s="323"/>
      <c r="R2" s="322" t="s">
        <v>3</v>
      </c>
      <c r="S2" s="322"/>
      <c r="T2" s="323" t="s">
        <v>2</v>
      </c>
      <c r="U2" s="323"/>
      <c r="W2" s="318" t="s">
        <v>3</v>
      </c>
      <c r="X2" s="318"/>
      <c r="Y2" s="317" t="s">
        <v>2</v>
      </c>
      <c r="Z2" s="317"/>
      <c r="AA2" s="139"/>
      <c r="AB2" s="318" t="s">
        <v>3</v>
      </c>
      <c r="AC2" s="318"/>
      <c r="AD2" s="317" t="s">
        <v>2</v>
      </c>
      <c r="AE2" s="317"/>
      <c r="AF2" s="139"/>
      <c r="AG2" s="318" t="s">
        <v>3</v>
      </c>
      <c r="AH2" s="318"/>
      <c r="AI2" s="317" t="s">
        <v>2</v>
      </c>
      <c r="AJ2" s="317"/>
      <c r="AK2" s="139"/>
      <c r="AL2" s="318" t="s">
        <v>3</v>
      </c>
      <c r="AM2" s="318"/>
      <c r="AN2" s="317" t="s">
        <v>2</v>
      </c>
      <c r="AO2" s="317"/>
      <c r="AP2" s="143"/>
      <c r="AQ2" s="307" t="s">
        <v>3</v>
      </c>
      <c r="AR2" s="308"/>
      <c r="AS2" s="299" t="s">
        <v>2</v>
      </c>
      <c r="AT2" s="300"/>
      <c r="AU2" s="213"/>
      <c r="AV2" s="307" t="s">
        <v>3</v>
      </c>
      <c r="AW2" s="308"/>
      <c r="AX2" s="216"/>
      <c r="AY2" s="299" t="s">
        <v>2</v>
      </c>
      <c r="AZ2" s="300"/>
      <c r="BA2" s="229"/>
      <c r="BB2" s="307" t="s">
        <v>3</v>
      </c>
      <c r="BC2" s="308"/>
      <c r="BD2" s="299" t="s">
        <v>2</v>
      </c>
      <c r="BE2" s="300"/>
      <c r="BF2" s="232"/>
      <c r="BG2" s="232"/>
      <c r="BH2" s="307" t="s">
        <v>3</v>
      </c>
      <c r="BI2" s="308"/>
      <c r="BJ2" s="216"/>
      <c r="BK2" s="299" t="s">
        <v>2</v>
      </c>
      <c r="BL2" s="300"/>
      <c r="BM2" s="232"/>
      <c r="BN2" s="248"/>
      <c r="BO2" s="248"/>
      <c r="BP2" s="249"/>
      <c r="BQ2" s="249"/>
      <c r="BT2" s="242"/>
      <c r="BU2" s="244"/>
      <c r="BV2" s="307" t="s">
        <v>3</v>
      </c>
      <c r="BW2" s="308"/>
      <c r="BX2" s="299" t="s">
        <v>2</v>
      </c>
      <c r="BY2" s="300"/>
      <c r="BZ2" s="229"/>
      <c r="CA2" s="307" t="s">
        <v>3</v>
      </c>
      <c r="CB2" s="308"/>
      <c r="CC2" s="299" t="s">
        <v>2</v>
      </c>
      <c r="CD2" s="300"/>
      <c r="CE2" s="229"/>
      <c r="CF2" s="297" t="s">
        <v>3</v>
      </c>
      <c r="CG2" s="298"/>
      <c r="CH2" s="299" t="s">
        <v>2</v>
      </c>
      <c r="CI2" s="300"/>
      <c r="CJ2" s="255"/>
      <c r="CK2" s="315" t="s">
        <v>1</v>
      </c>
      <c r="CL2" s="273"/>
      <c r="CM2" s="189"/>
      <c r="CN2" s="273"/>
      <c r="CO2" s="189"/>
    </row>
    <row r="3" spans="1:93" s="9" customFormat="1" ht="18" customHeight="1">
      <c r="A3" s="325"/>
      <c r="C3" s="13" t="s">
        <v>4</v>
      </c>
      <c r="D3" s="11"/>
      <c r="E3" s="14" t="s">
        <v>5</v>
      </c>
      <c r="F3" s="329" t="s">
        <v>6</v>
      </c>
      <c r="G3" s="330"/>
      <c r="H3" s="11"/>
      <c r="I3" s="321" t="s">
        <v>7</v>
      </c>
      <c r="J3" s="321"/>
      <c r="K3" s="319" t="s">
        <v>8</v>
      </c>
      <c r="L3" s="319"/>
      <c r="N3" s="15" t="s">
        <v>9</v>
      </c>
      <c r="O3" s="319" t="s">
        <v>10</v>
      </c>
      <c r="P3" s="319"/>
      <c r="R3" s="321" t="s">
        <v>11</v>
      </c>
      <c r="S3" s="321"/>
      <c r="T3" s="319" t="s">
        <v>12</v>
      </c>
      <c r="U3" s="319"/>
      <c r="W3" s="309" t="s">
        <v>81</v>
      </c>
      <c r="X3" s="309"/>
      <c r="Y3" s="314" t="s">
        <v>80</v>
      </c>
      <c r="Z3" s="314"/>
      <c r="AA3" s="139"/>
      <c r="AB3" s="309" t="s">
        <v>85</v>
      </c>
      <c r="AC3" s="309"/>
      <c r="AD3" s="314" t="s">
        <v>82</v>
      </c>
      <c r="AE3" s="314"/>
      <c r="AF3" s="139"/>
      <c r="AG3" s="309" t="s">
        <v>86</v>
      </c>
      <c r="AH3" s="309"/>
      <c r="AI3" s="314" t="s">
        <v>83</v>
      </c>
      <c r="AJ3" s="314"/>
      <c r="AK3" s="139"/>
      <c r="AL3" s="309" t="s">
        <v>88</v>
      </c>
      <c r="AM3" s="309"/>
      <c r="AN3" s="314" t="s">
        <v>89</v>
      </c>
      <c r="AO3" s="314"/>
      <c r="AP3" s="143"/>
      <c r="AQ3" s="309" t="s">
        <v>90</v>
      </c>
      <c r="AR3" s="311"/>
      <c r="AS3" s="312" t="s">
        <v>92</v>
      </c>
      <c r="AT3" s="313"/>
      <c r="AU3" s="213"/>
      <c r="AV3" s="309" t="s">
        <v>93</v>
      </c>
      <c r="AW3" s="311"/>
      <c r="AX3" s="221" t="s">
        <v>94</v>
      </c>
      <c r="AY3" s="312" t="s">
        <v>95</v>
      </c>
      <c r="AZ3" s="313"/>
      <c r="BA3" s="229"/>
      <c r="BB3" s="309" t="s">
        <v>97</v>
      </c>
      <c r="BC3" s="311"/>
      <c r="BD3" s="312" t="s">
        <v>99</v>
      </c>
      <c r="BE3" s="313"/>
      <c r="BF3" s="232"/>
      <c r="BG3" s="232"/>
      <c r="BH3" s="309" t="s">
        <v>102</v>
      </c>
      <c r="BI3" s="311"/>
      <c r="BJ3" s="221" t="s">
        <v>101</v>
      </c>
      <c r="BK3" s="312" t="s">
        <v>100</v>
      </c>
      <c r="BL3" s="313"/>
      <c r="BM3" s="232"/>
      <c r="BN3" s="248"/>
      <c r="BO3" s="248"/>
      <c r="BP3" s="249"/>
      <c r="BQ3" s="249"/>
      <c r="BT3" s="242"/>
      <c r="BU3" s="244"/>
      <c r="BV3" s="309" t="s">
        <v>104</v>
      </c>
      <c r="BW3" s="310"/>
      <c r="BX3" s="303" t="s">
        <v>103</v>
      </c>
      <c r="BY3" s="304"/>
      <c r="BZ3" s="229"/>
      <c r="CA3" s="309" t="s">
        <v>105</v>
      </c>
      <c r="CB3" s="310"/>
      <c r="CC3" s="303" t="s">
        <v>106</v>
      </c>
      <c r="CD3" s="304"/>
      <c r="CE3" s="229"/>
      <c r="CF3" s="301" t="s">
        <v>114</v>
      </c>
      <c r="CG3" s="302"/>
      <c r="CH3" s="303" t="s">
        <v>113</v>
      </c>
      <c r="CI3" s="304"/>
      <c r="CJ3" s="255"/>
      <c r="CK3" s="316"/>
      <c r="CL3" s="276" t="s">
        <v>110</v>
      </c>
      <c r="CM3" s="277"/>
      <c r="CN3" s="276" t="s">
        <v>111</v>
      </c>
      <c r="CO3" s="277"/>
    </row>
    <row r="4" spans="1:93" s="1" customFormat="1" ht="18.75" customHeight="1">
      <c r="A4" s="326"/>
      <c r="B4" s="16"/>
      <c r="C4" s="17" t="s">
        <v>13</v>
      </c>
      <c r="D4" s="4"/>
      <c r="E4" s="127" t="s">
        <v>14</v>
      </c>
      <c r="F4" s="17" t="s">
        <v>13</v>
      </c>
      <c r="G4" s="17" t="s">
        <v>15</v>
      </c>
      <c r="H4" s="18"/>
      <c r="I4" s="127" t="s">
        <v>13</v>
      </c>
      <c r="J4" s="124" t="s">
        <v>15</v>
      </c>
      <c r="K4" s="17" t="s">
        <v>13</v>
      </c>
      <c r="L4" s="17" t="s">
        <v>15</v>
      </c>
      <c r="M4" s="6"/>
      <c r="N4" s="127" t="s">
        <v>13</v>
      </c>
      <c r="O4" s="17" t="s">
        <v>13</v>
      </c>
      <c r="P4" s="17" t="s">
        <v>15</v>
      </c>
      <c r="Q4" s="6"/>
      <c r="R4" s="127" t="s">
        <v>13</v>
      </c>
      <c r="S4" s="121" t="s">
        <v>15</v>
      </c>
      <c r="T4" s="17" t="s">
        <v>13</v>
      </c>
      <c r="U4" s="17" t="s">
        <v>15</v>
      </c>
      <c r="W4" s="127" t="s">
        <v>13</v>
      </c>
      <c r="X4" s="149" t="s">
        <v>15</v>
      </c>
      <c r="Y4" s="17" t="s">
        <v>13</v>
      </c>
      <c r="Z4" s="17" t="s">
        <v>15</v>
      </c>
      <c r="AA4" s="140"/>
      <c r="AB4" s="127" t="s">
        <v>13</v>
      </c>
      <c r="AC4" s="149" t="s">
        <v>15</v>
      </c>
      <c r="AD4" s="17" t="s">
        <v>13</v>
      </c>
      <c r="AE4" s="17" t="s">
        <v>15</v>
      </c>
      <c r="AF4" s="140"/>
      <c r="AG4" s="136" t="s">
        <v>13</v>
      </c>
      <c r="AH4" s="149" t="s">
        <v>15</v>
      </c>
      <c r="AI4" s="17" t="s">
        <v>13</v>
      </c>
      <c r="AJ4" s="17" t="s">
        <v>15</v>
      </c>
      <c r="AK4" s="140"/>
      <c r="AL4" s="136" t="s">
        <v>13</v>
      </c>
      <c r="AM4" s="149" t="s">
        <v>15</v>
      </c>
      <c r="AN4" s="17" t="s">
        <v>13</v>
      </c>
      <c r="AO4" s="17" t="s">
        <v>15</v>
      </c>
      <c r="AP4" s="140"/>
      <c r="AQ4" s="136" t="s">
        <v>13</v>
      </c>
      <c r="AR4" s="149" t="s">
        <v>15</v>
      </c>
      <c r="AS4" s="17" t="s">
        <v>13</v>
      </c>
      <c r="AT4" s="17" t="s">
        <v>15</v>
      </c>
      <c r="AU4" s="140"/>
      <c r="AV4" s="136" t="s">
        <v>13</v>
      </c>
      <c r="AW4" s="149" t="s">
        <v>15</v>
      </c>
      <c r="AX4" s="140" t="s">
        <v>13</v>
      </c>
      <c r="AY4" s="140" t="s">
        <v>13</v>
      </c>
      <c r="AZ4" s="140" t="s">
        <v>15</v>
      </c>
      <c r="BA4" s="230"/>
      <c r="BB4" s="136" t="s">
        <v>13</v>
      </c>
      <c r="BC4" s="149" t="s">
        <v>15</v>
      </c>
      <c r="BD4" s="140" t="s">
        <v>13</v>
      </c>
      <c r="BE4" s="140" t="s">
        <v>15</v>
      </c>
      <c r="BF4" s="236" t="s">
        <v>98</v>
      </c>
      <c r="BG4" s="236"/>
      <c r="BH4" s="136" t="s">
        <v>13</v>
      </c>
      <c r="BI4" s="149" t="s">
        <v>15</v>
      </c>
      <c r="BJ4" s="140" t="s">
        <v>15</v>
      </c>
      <c r="BK4" s="140" t="s">
        <v>13</v>
      </c>
      <c r="BL4" s="140" t="s">
        <v>15</v>
      </c>
      <c r="BM4" s="233"/>
      <c r="BN4" s="250"/>
      <c r="BO4" s="250"/>
      <c r="BP4" s="251"/>
      <c r="BQ4" s="251"/>
      <c r="BT4" s="243"/>
      <c r="BU4" s="245"/>
      <c r="BV4" s="136" t="s">
        <v>13</v>
      </c>
      <c r="BW4" s="257" t="s">
        <v>15</v>
      </c>
      <c r="BX4" s="258" t="s">
        <v>13</v>
      </c>
      <c r="BY4" s="259" t="s">
        <v>15</v>
      </c>
      <c r="BZ4" s="262"/>
      <c r="CA4" s="136" t="s">
        <v>13</v>
      </c>
      <c r="CB4" s="257" t="s">
        <v>15</v>
      </c>
      <c r="CC4" s="258" t="s">
        <v>13</v>
      </c>
      <c r="CD4" s="259" t="s">
        <v>15</v>
      </c>
      <c r="CE4" s="262"/>
      <c r="CF4" s="136" t="s">
        <v>13</v>
      </c>
      <c r="CG4" s="257" t="s">
        <v>15</v>
      </c>
      <c r="CH4" s="258" t="s">
        <v>13</v>
      </c>
      <c r="CI4" s="259" t="s">
        <v>15</v>
      </c>
      <c r="CJ4" s="253"/>
      <c r="CK4" s="316"/>
      <c r="CL4" s="278" t="s">
        <v>109</v>
      </c>
      <c r="CM4" s="279" t="s">
        <v>112</v>
      </c>
      <c r="CN4" s="278" t="s">
        <v>109</v>
      </c>
      <c r="CO4" s="279" t="s">
        <v>112</v>
      </c>
    </row>
    <row r="5" spans="1:93" ht="12.75">
      <c r="A5" s="19">
        <v>1</v>
      </c>
      <c r="B5" s="20"/>
      <c r="C5" s="21">
        <v>1</v>
      </c>
      <c r="E5" s="128">
        <f aca="true" t="shared" si="0" ref="E5:E35">F5-C5</f>
        <v>0</v>
      </c>
      <c r="F5" s="21">
        <v>1</v>
      </c>
      <c r="G5" s="22">
        <v>30.9</v>
      </c>
      <c r="H5" s="23"/>
      <c r="I5" s="128">
        <f aca="true" t="shared" si="1" ref="I5:I35">K5-F5</f>
        <v>3</v>
      </c>
      <c r="J5" s="125">
        <f aca="true" t="shared" si="2" ref="J5:J35">L5-G5</f>
        <v>17.82</v>
      </c>
      <c r="K5" s="21">
        <v>4</v>
      </c>
      <c r="L5" s="22">
        <v>48.72</v>
      </c>
      <c r="N5" s="128">
        <f aca="true" t="shared" si="3" ref="N5:N35">O5-K5</f>
        <v>3</v>
      </c>
      <c r="O5" s="21">
        <v>7</v>
      </c>
      <c r="P5" s="22">
        <v>48.72</v>
      </c>
      <c r="R5" s="128">
        <f aca="true" t="shared" si="4" ref="R5:R35">T5-O5</f>
        <v>16</v>
      </c>
      <c r="S5" s="122">
        <f aca="true" t="shared" si="5" ref="S5:S35">U5-P5</f>
        <v>11.68</v>
      </c>
      <c r="T5" s="21">
        <v>23</v>
      </c>
      <c r="U5" s="22">
        <v>60.4</v>
      </c>
      <c r="W5" s="128">
        <f aca="true" t="shared" si="6" ref="W5:W35">Y5</f>
        <v>24</v>
      </c>
      <c r="X5" s="151">
        <f aca="true" t="shared" si="7" ref="X5:X35">Z5-U5</f>
        <v>12.250000000000007</v>
      </c>
      <c r="Y5" s="21">
        <v>24</v>
      </c>
      <c r="Z5" s="22">
        <v>72.65</v>
      </c>
      <c r="AA5" s="141"/>
      <c r="AB5" s="128">
        <f aca="true" t="shared" si="8" ref="AB5:AB35">AD5-Y5</f>
        <v>17</v>
      </c>
      <c r="AC5" s="151">
        <f aca="true" t="shared" si="9" ref="AC5:AC35">AE5-Z5</f>
        <v>10.409999999999997</v>
      </c>
      <c r="AD5" s="21">
        <v>41</v>
      </c>
      <c r="AE5" s="134">
        <v>83.06</v>
      </c>
      <c r="AF5" s="144"/>
      <c r="AG5" s="137">
        <f aca="true" t="shared" si="10" ref="AG5:AG35">AI5-AD5</f>
        <v>20</v>
      </c>
      <c r="AH5" s="150">
        <f aca="true" t="shared" si="11" ref="AH5:AH35">AJ5-AE5</f>
        <v>9.269999999999996</v>
      </c>
      <c r="AI5" s="147">
        <v>61</v>
      </c>
      <c r="AJ5" s="134">
        <v>92.33</v>
      </c>
      <c r="AK5" s="144"/>
      <c r="AL5" s="137">
        <f aca="true" t="shared" si="12" ref="AL5:AL35">AN5-AI5</f>
        <v>24</v>
      </c>
      <c r="AM5" s="150">
        <f aca="true" t="shared" si="13" ref="AM5:AM35">AO5-AJ5</f>
        <v>11.299999999999997</v>
      </c>
      <c r="AN5" s="155">
        <v>85</v>
      </c>
      <c r="AO5" s="159">
        <v>103.63</v>
      </c>
      <c r="AP5" s="141"/>
      <c r="AQ5" s="137">
        <f aca="true" t="shared" si="14" ref="AQ5:AQ35">AS5-AN5</f>
        <v>6</v>
      </c>
      <c r="AR5" s="150">
        <f aca="true" t="shared" si="15" ref="AR5:AR35">AT5-AO5</f>
        <v>10.010000000000005</v>
      </c>
      <c r="AS5" s="190">
        <v>91</v>
      </c>
      <c r="AT5" s="191">
        <v>113.64</v>
      </c>
      <c r="AU5" s="214"/>
      <c r="AV5" s="137">
        <f aca="true" t="shared" si="16" ref="AV5:AV16">AX5-AS5+AY5</f>
        <v>3</v>
      </c>
      <c r="AW5" s="217">
        <f aca="true" t="shared" si="17" ref="AW5:AW35">AZ5-AT5</f>
        <v>9.579999999999998</v>
      </c>
      <c r="AX5" s="219">
        <v>93</v>
      </c>
      <c r="AY5" s="220">
        <v>1</v>
      </c>
      <c r="AZ5" s="191">
        <v>123.22</v>
      </c>
      <c r="BA5" s="214"/>
      <c r="BB5" s="137">
        <f aca="true" t="shared" si="18" ref="BB5:BB35">BD5-AY5</f>
        <v>6</v>
      </c>
      <c r="BC5" s="217">
        <f aca="true" t="shared" si="19" ref="BC5:BC35">BE5-AZ5</f>
        <v>7.1200000000000045</v>
      </c>
      <c r="BD5" s="220">
        <v>7</v>
      </c>
      <c r="BE5" s="191">
        <v>130.34</v>
      </c>
      <c r="BF5" s="234">
        <v>130.34</v>
      </c>
      <c r="BG5" s="234"/>
      <c r="BH5" s="137">
        <f aca="true" t="shared" si="20" ref="BH5:BH35">BK5-BD5</f>
        <v>1</v>
      </c>
      <c r="BI5" s="217">
        <f aca="true" t="shared" si="21" ref="BI5:BI35">BL5+BJ5-BE5</f>
        <v>7.623999999999995</v>
      </c>
      <c r="BJ5" s="219">
        <v>130.49</v>
      </c>
      <c r="BK5" s="220">
        <v>8</v>
      </c>
      <c r="BL5" s="191">
        <v>7.474</v>
      </c>
      <c r="BM5" s="234"/>
      <c r="BN5" s="246">
        <v>11</v>
      </c>
      <c r="BO5" s="246">
        <v>11</v>
      </c>
      <c r="BP5" s="247">
        <v>44305</v>
      </c>
      <c r="BQ5" s="247">
        <v>44364</v>
      </c>
      <c r="BR5" s="2">
        <f aca="true" t="shared" si="22" ref="BR5:BR17">DAYS360(BP5,BQ5)</f>
        <v>58</v>
      </c>
      <c r="BS5" s="2">
        <f>DAYS360(BP5,BT5)</f>
        <v>42</v>
      </c>
      <c r="BT5" s="241">
        <v>44347</v>
      </c>
      <c r="BU5" s="187">
        <f>(BO5-BN5)/BR5*BS5+BN5</f>
        <v>11</v>
      </c>
      <c r="BV5" s="137">
        <f aca="true" t="shared" si="23" ref="BV5:BV35">BX5-BK5</f>
        <v>3</v>
      </c>
      <c r="BW5" s="217">
        <f aca="true" t="shared" si="24" ref="BW5:BW35">BY5-BL5</f>
        <v>5.734</v>
      </c>
      <c r="BX5" s="220">
        <v>11</v>
      </c>
      <c r="BY5" s="191">
        <v>13.208</v>
      </c>
      <c r="BZ5" s="214"/>
      <c r="CA5" s="137">
        <f>CC5-BX5</f>
        <v>2</v>
      </c>
      <c r="CB5" s="217">
        <f>CD5-BY5</f>
        <v>11.482000000000001</v>
      </c>
      <c r="CC5" s="268">
        <v>13</v>
      </c>
      <c r="CD5" s="191">
        <v>24.69</v>
      </c>
      <c r="CE5" s="214"/>
      <c r="CF5" s="137">
        <v>3</v>
      </c>
      <c r="CG5" s="217">
        <f>CI5-CD5</f>
        <v>0.5839999999999996</v>
      </c>
      <c r="CH5" s="268"/>
      <c r="CI5" s="191">
        <v>25.274</v>
      </c>
      <c r="CJ5" s="254"/>
      <c r="CK5" s="260">
        <v>1</v>
      </c>
      <c r="CL5" s="274">
        <f>AVERAGE(BB5,BH5,BV5,CA5)</f>
        <v>3</v>
      </c>
      <c r="CM5" s="188">
        <f>CF5/CL5</f>
        <v>1</v>
      </c>
      <c r="CN5" s="275">
        <f>AVERAGE(BC5,BI5,BW5,CB5)</f>
        <v>7.99</v>
      </c>
      <c r="CO5" s="188">
        <f>CG5/CN5</f>
        <v>0.07309136420525653</v>
      </c>
    </row>
    <row r="6" spans="1:93" ht="12.75">
      <c r="A6" s="24">
        <v>2</v>
      </c>
      <c r="B6" s="20"/>
      <c r="C6" s="21">
        <v>1</v>
      </c>
      <c r="E6" s="128">
        <f t="shared" si="0"/>
        <v>0</v>
      </c>
      <c r="F6" s="21">
        <v>1</v>
      </c>
      <c r="G6" s="22">
        <v>26.75</v>
      </c>
      <c r="H6" s="23"/>
      <c r="I6" s="128">
        <f t="shared" si="1"/>
        <v>6</v>
      </c>
      <c r="J6" s="125">
        <f t="shared" si="2"/>
        <v>15.21</v>
      </c>
      <c r="K6" s="21">
        <v>7</v>
      </c>
      <c r="L6" s="22">
        <v>41.96</v>
      </c>
      <c r="N6" s="128">
        <f t="shared" si="3"/>
        <v>5</v>
      </c>
      <c r="O6" s="21">
        <v>12</v>
      </c>
      <c r="P6" s="22">
        <v>41.96</v>
      </c>
      <c r="R6" s="128">
        <f t="shared" si="4"/>
        <v>8</v>
      </c>
      <c r="S6" s="122">
        <f t="shared" si="5"/>
        <v>8.469999999999999</v>
      </c>
      <c r="T6" s="21">
        <v>20</v>
      </c>
      <c r="U6" s="22">
        <v>50.43</v>
      </c>
      <c r="W6" s="128">
        <f t="shared" si="6"/>
        <v>10</v>
      </c>
      <c r="X6" s="151">
        <f t="shared" si="7"/>
        <v>7.520000000000003</v>
      </c>
      <c r="Y6" s="21">
        <v>10</v>
      </c>
      <c r="Z6" s="22">
        <v>57.95</v>
      </c>
      <c r="AA6" s="141"/>
      <c r="AB6" s="128">
        <f t="shared" si="8"/>
        <v>10</v>
      </c>
      <c r="AC6" s="151">
        <f t="shared" si="9"/>
        <v>6.310000000000002</v>
      </c>
      <c r="AD6" s="21">
        <v>20</v>
      </c>
      <c r="AE6" s="134">
        <v>64.26</v>
      </c>
      <c r="AF6" s="144"/>
      <c r="AG6" s="137">
        <f t="shared" si="10"/>
        <v>9</v>
      </c>
      <c r="AH6" s="150">
        <f t="shared" si="11"/>
        <v>6.3799999999999955</v>
      </c>
      <c r="AI6" s="147">
        <v>29</v>
      </c>
      <c r="AJ6" s="134">
        <v>70.64</v>
      </c>
      <c r="AK6" s="144"/>
      <c r="AL6" s="137">
        <f t="shared" si="12"/>
        <v>9</v>
      </c>
      <c r="AM6" s="150">
        <f t="shared" si="13"/>
        <v>6.459999999999994</v>
      </c>
      <c r="AN6" s="155">
        <v>38</v>
      </c>
      <c r="AO6" s="159">
        <v>77.1</v>
      </c>
      <c r="AP6" s="141"/>
      <c r="AQ6" s="137">
        <f t="shared" si="14"/>
        <v>10</v>
      </c>
      <c r="AR6" s="150">
        <f t="shared" si="15"/>
        <v>7.920000000000002</v>
      </c>
      <c r="AS6" s="190">
        <v>48</v>
      </c>
      <c r="AT6" s="191">
        <v>85.02</v>
      </c>
      <c r="AU6" s="214"/>
      <c r="AV6" s="137">
        <f t="shared" si="16"/>
        <v>8</v>
      </c>
      <c r="AW6" s="217">
        <f t="shared" si="17"/>
        <v>9.040000000000006</v>
      </c>
      <c r="AX6" s="219">
        <v>55</v>
      </c>
      <c r="AY6" s="220">
        <v>1</v>
      </c>
      <c r="AZ6" s="191">
        <v>94.06</v>
      </c>
      <c r="BA6" s="214"/>
      <c r="BB6" s="137">
        <f t="shared" si="18"/>
        <v>10</v>
      </c>
      <c r="BC6" s="217">
        <f t="shared" si="19"/>
        <v>7.340000000000003</v>
      </c>
      <c r="BD6" s="220">
        <v>11</v>
      </c>
      <c r="BE6" s="191">
        <v>101.4</v>
      </c>
      <c r="BF6" s="234">
        <v>101.22</v>
      </c>
      <c r="BG6" s="234"/>
      <c r="BH6" s="137">
        <f t="shared" si="20"/>
        <v>8</v>
      </c>
      <c r="BI6" s="217">
        <f t="shared" si="21"/>
        <v>8.273999999999987</v>
      </c>
      <c r="BJ6" s="219">
        <v>102.1</v>
      </c>
      <c r="BK6" s="220">
        <v>19</v>
      </c>
      <c r="BL6" s="191">
        <v>7.574</v>
      </c>
      <c r="BM6" s="234"/>
      <c r="BN6" s="246">
        <v>27</v>
      </c>
      <c r="BO6" s="246">
        <v>29</v>
      </c>
      <c r="BP6" s="247">
        <v>44302</v>
      </c>
      <c r="BQ6" s="247">
        <v>44361</v>
      </c>
      <c r="BR6" s="2">
        <f t="shared" si="22"/>
        <v>58</v>
      </c>
      <c r="BS6" s="2">
        <f aca="true" t="shared" si="25" ref="BS6:BS11">DAYS360(BP6,BT6)</f>
        <v>45</v>
      </c>
      <c r="BT6" s="241">
        <v>44347</v>
      </c>
      <c r="BU6" s="187">
        <f aca="true" t="shared" si="26" ref="BU6:BU11">(BO6-BN6)/BR6*BS6+BN6</f>
        <v>28.551724137931036</v>
      </c>
      <c r="BV6" s="137">
        <f t="shared" si="23"/>
        <v>10</v>
      </c>
      <c r="BW6" s="217">
        <f t="shared" si="24"/>
        <v>9.839</v>
      </c>
      <c r="BX6" s="220">
        <v>29</v>
      </c>
      <c r="BY6" s="191">
        <v>17.413</v>
      </c>
      <c r="BZ6" s="214"/>
      <c r="CA6" s="137">
        <f aca="true" t="shared" si="27" ref="CA6:CA35">CC6-BX6</f>
        <v>9</v>
      </c>
      <c r="CB6" s="217">
        <f aca="true" t="shared" si="28" ref="CB6:CB35">CD6-BY6</f>
        <v>9.017</v>
      </c>
      <c r="CC6" s="268">
        <v>38</v>
      </c>
      <c r="CD6" s="191">
        <v>26.43</v>
      </c>
      <c r="CE6" s="214"/>
      <c r="CF6" s="137">
        <v>8</v>
      </c>
      <c r="CG6" s="217">
        <f aca="true" t="shared" si="29" ref="CG6:CG35">CI6-CD6</f>
        <v>7.663000000000004</v>
      </c>
      <c r="CH6" s="268"/>
      <c r="CI6" s="191">
        <v>34.093</v>
      </c>
      <c r="CJ6" s="254"/>
      <c r="CK6" s="261">
        <v>2</v>
      </c>
      <c r="CL6" s="274">
        <f aca="true" t="shared" si="30" ref="CL6:CL35">AVERAGE(BB6,BH6,BV6,CA6)</f>
        <v>9.25</v>
      </c>
      <c r="CM6" s="188">
        <f aca="true" t="shared" si="31" ref="CM6:CM36">CF6/CL6</f>
        <v>0.8648648648648649</v>
      </c>
      <c r="CN6" s="275">
        <f aca="true" t="shared" si="32" ref="CN6:CN36">AVERAGE(BC6,BI6,BW6,CB6)</f>
        <v>8.617499999999996</v>
      </c>
      <c r="CO6" s="188">
        <f aca="true" t="shared" si="33" ref="CO6:CO36">CG6/CN6</f>
        <v>0.8892370176965486</v>
      </c>
    </row>
    <row r="7" spans="1:93" ht="12.75">
      <c r="A7" s="24">
        <v>3</v>
      </c>
      <c r="B7" s="20"/>
      <c r="C7" s="21">
        <v>7</v>
      </c>
      <c r="E7" s="128">
        <f t="shared" si="0"/>
        <v>5</v>
      </c>
      <c r="F7" s="21">
        <v>12</v>
      </c>
      <c r="G7" s="22">
        <v>26.11</v>
      </c>
      <c r="H7" s="23"/>
      <c r="I7" s="128">
        <f t="shared" si="1"/>
        <v>11</v>
      </c>
      <c r="J7" s="125">
        <f t="shared" si="2"/>
        <v>2.9400000000000013</v>
      </c>
      <c r="K7" s="21">
        <v>23</v>
      </c>
      <c r="L7" s="22">
        <v>29.05</v>
      </c>
      <c r="N7" s="128">
        <f t="shared" si="3"/>
        <v>8</v>
      </c>
      <c r="O7" s="21">
        <v>31</v>
      </c>
      <c r="P7" s="22">
        <v>29.05</v>
      </c>
      <c r="R7" s="128">
        <f t="shared" si="4"/>
        <v>9</v>
      </c>
      <c r="S7" s="122">
        <f t="shared" si="5"/>
        <v>1.5799999999999983</v>
      </c>
      <c r="T7" s="21">
        <v>40</v>
      </c>
      <c r="U7" s="22">
        <v>30.63</v>
      </c>
      <c r="W7" s="128">
        <f t="shared" si="6"/>
        <v>13</v>
      </c>
      <c r="X7" s="151">
        <f t="shared" si="7"/>
        <v>1.1900000000000013</v>
      </c>
      <c r="Y7" s="21">
        <v>13</v>
      </c>
      <c r="Z7" s="22">
        <v>31.82</v>
      </c>
      <c r="AA7" s="141"/>
      <c r="AB7" s="128">
        <f t="shared" si="8"/>
        <v>20</v>
      </c>
      <c r="AC7" s="151">
        <f t="shared" si="9"/>
        <v>1.4500000000000028</v>
      </c>
      <c r="AD7" s="21">
        <v>33</v>
      </c>
      <c r="AE7" s="134">
        <v>33.27</v>
      </c>
      <c r="AF7" s="144"/>
      <c r="AG7" s="137">
        <f t="shared" si="10"/>
        <v>21</v>
      </c>
      <c r="AH7" s="150">
        <f t="shared" si="11"/>
        <v>0.1599999999999966</v>
      </c>
      <c r="AI7" s="147">
        <v>54</v>
      </c>
      <c r="AJ7" s="134">
        <v>33.43</v>
      </c>
      <c r="AK7" s="144"/>
      <c r="AL7" s="137">
        <f t="shared" si="12"/>
        <v>23</v>
      </c>
      <c r="AM7" s="150">
        <f t="shared" si="13"/>
        <v>0.3200000000000003</v>
      </c>
      <c r="AN7" s="155">
        <v>77</v>
      </c>
      <c r="AO7" s="159">
        <v>33.75</v>
      </c>
      <c r="AP7" s="141"/>
      <c r="AQ7" s="137">
        <f t="shared" si="14"/>
        <v>21</v>
      </c>
      <c r="AR7" s="150">
        <f t="shared" si="15"/>
        <v>0.3400000000000034</v>
      </c>
      <c r="AS7" s="190">
        <v>98</v>
      </c>
      <c r="AT7" s="191">
        <v>34.09</v>
      </c>
      <c r="AU7" s="214"/>
      <c r="AV7" s="137">
        <f t="shared" si="16"/>
        <v>18</v>
      </c>
      <c r="AW7" s="217">
        <f t="shared" si="17"/>
        <v>0.4899999999999949</v>
      </c>
      <c r="AX7" s="219">
        <v>109</v>
      </c>
      <c r="AY7" s="220">
        <v>7</v>
      </c>
      <c r="AZ7" s="191">
        <v>34.58</v>
      </c>
      <c r="BA7" s="214"/>
      <c r="BB7" s="137">
        <f t="shared" si="18"/>
        <v>21</v>
      </c>
      <c r="BC7" s="217">
        <f t="shared" si="19"/>
        <v>0.10999999999999943</v>
      </c>
      <c r="BD7" s="220">
        <v>28</v>
      </c>
      <c r="BE7" s="191">
        <v>34.69</v>
      </c>
      <c r="BF7" s="234">
        <v>34.68</v>
      </c>
      <c r="BG7" s="234"/>
      <c r="BH7" s="137">
        <f t="shared" si="20"/>
        <v>17</v>
      </c>
      <c r="BI7" s="217">
        <f t="shared" si="21"/>
        <v>0.008000000000002672</v>
      </c>
      <c r="BJ7" s="219">
        <v>34.69</v>
      </c>
      <c r="BK7" s="220">
        <v>45</v>
      </c>
      <c r="BL7" s="191">
        <v>0.008</v>
      </c>
      <c r="BM7" s="234"/>
      <c r="BN7" s="246">
        <v>58</v>
      </c>
      <c r="BO7" s="246">
        <v>61</v>
      </c>
      <c r="BP7" s="247">
        <v>44308</v>
      </c>
      <c r="BQ7" s="247">
        <v>44361</v>
      </c>
      <c r="BR7" s="2">
        <f t="shared" si="22"/>
        <v>52</v>
      </c>
      <c r="BS7" s="2">
        <f t="shared" si="25"/>
        <v>39</v>
      </c>
      <c r="BT7" s="241">
        <v>44347</v>
      </c>
      <c r="BU7" s="187">
        <f>(BO7-BN7)/BR7*BS7+BN7</f>
        <v>60.25</v>
      </c>
      <c r="BV7" s="137">
        <f t="shared" si="23"/>
        <v>15</v>
      </c>
      <c r="BW7" s="217">
        <f t="shared" si="24"/>
        <v>0.417</v>
      </c>
      <c r="BX7" s="220">
        <v>60</v>
      </c>
      <c r="BY7" s="191">
        <v>0.425</v>
      </c>
      <c r="BZ7" s="214"/>
      <c r="CA7" s="137">
        <f t="shared" si="27"/>
        <v>17</v>
      </c>
      <c r="CB7" s="217">
        <f t="shared" si="28"/>
        <v>0.323</v>
      </c>
      <c r="CC7" s="220">
        <v>77</v>
      </c>
      <c r="CD7" s="191">
        <v>0.748</v>
      </c>
      <c r="CE7" s="214"/>
      <c r="CF7" s="137">
        <v>17</v>
      </c>
      <c r="CG7" s="217">
        <f t="shared" si="29"/>
        <v>0.04800000000000004</v>
      </c>
      <c r="CH7" s="220"/>
      <c r="CI7" s="191">
        <v>0.796</v>
      </c>
      <c r="CJ7" s="254"/>
      <c r="CK7" s="261">
        <v>3</v>
      </c>
      <c r="CL7" s="274">
        <f t="shared" si="30"/>
        <v>17.5</v>
      </c>
      <c r="CM7" s="188">
        <f t="shared" si="31"/>
        <v>0.9714285714285714</v>
      </c>
      <c r="CN7" s="275">
        <f t="shared" si="32"/>
        <v>0.21450000000000052</v>
      </c>
      <c r="CO7" s="188">
        <f t="shared" si="33"/>
        <v>0.22377622377622342</v>
      </c>
    </row>
    <row r="8" spans="1:93" ht="12.75">
      <c r="A8" s="24">
        <v>4</v>
      </c>
      <c r="B8" s="20"/>
      <c r="C8" s="21">
        <v>0</v>
      </c>
      <c r="E8" s="128">
        <f t="shared" si="0"/>
        <v>3</v>
      </c>
      <c r="F8" s="21">
        <v>3</v>
      </c>
      <c r="G8" s="22">
        <v>24.78</v>
      </c>
      <c r="H8" s="23"/>
      <c r="I8" s="128">
        <f t="shared" si="1"/>
        <v>26</v>
      </c>
      <c r="J8" s="125">
        <f t="shared" si="2"/>
        <v>14.11</v>
      </c>
      <c r="K8" s="21">
        <v>29</v>
      </c>
      <c r="L8" s="22">
        <v>38.89</v>
      </c>
      <c r="N8" s="128">
        <f t="shared" si="3"/>
        <v>13</v>
      </c>
      <c r="O8" s="21">
        <v>42</v>
      </c>
      <c r="P8" s="22">
        <v>38.89</v>
      </c>
      <c r="R8" s="128">
        <f t="shared" si="4"/>
        <v>7</v>
      </c>
      <c r="S8" s="122">
        <f t="shared" si="5"/>
        <v>10.950000000000003</v>
      </c>
      <c r="T8" s="21">
        <v>49</v>
      </c>
      <c r="U8" s="22">
        <v>49.84</v>
      </c>
      <c r="W8" s="128">
        <f t="shared" si="6"/>
        <v>15</v>
      </c>
      <c r="X8" s="151">
        <f t="shared" si="7"/>
        <v>10.809999999999995</v>
      </c>
      <c r="Y8" s="21">
        <v>15</v>
      </c>
      <c r="Z8" s="22">
        <v>60.65</v>
      </c>
      <c r="AA8" s="141"/>
      <c r="AB8" s="128">
        <f t="shared" si="8"/>
        <v>9</v>
      </c>
      <c r="AC8" s="151">
        <f t="shared" si="9"/>
        <v>5.32</v>
      </c>
      <c r="AD8" s="21">
        <v>24</v>
      </c>
      <c r="AE8" s="134">
        <v>65.97</v>
      </c>
      <c r="AF8" s="144"/>
      <c r="AG8" s="137">
        <f t="shared" si="10"/>
        <v>36</v>
      </c>
      <c r="AH8" s="150">
        <f t="shared" si="11"/>
        <v>10.989999999999995</v>
      </c>
      <c r="AI8" s="147">
        <v>60</v>
      </c>
      <c r="AJ8" s="134">
        <v>76.96</v>
      </c>
      <c r="AK8" s="144"/>
      <c r="AL8" s="137">
        <f t="shared" si="12"/>
        <v>15</v>
      </c>
      <c r="AM8" s="150">
        <f t="shared" si="13"/>
        <v>8.740000000000009</v>
      </c>
      <c r="AN8" s="155">
        <v>75</v>
      </c>
      <c r="AO8" s="159">
        <v>85.7</v>
      </c>
      <c r="AP8" s="141"/>
      <c r="AQ8" s="137">
        <f t="shared" si="14"/>
        <v>17</v>
      </c>
      <c r="AR8" s="150">
        <f t="shared" si="15"/>
        <v>7.890000000000001</v>
      </c>
      <c r="AS8" s="190">
        <v>92</v>
      </c>
      <c r="AT8" s="191">
        <v>93.59</v>
      </c>
      <c r="AU8" s="214"/>
      <c r="AV8" s="137">
        <f t="shared" si="16"/>
        <v>15</v>
      </c>
      <c r="AW8" s="217">
        <f t="shared" si="17"/>
        <v>8.310000000000002</v>
      </c>
      <c r="AX8" s="219">
        <v>101</v>
      </c>
      <c r="AY8" s="220">
        <v>6</v>
      </c>
      <c r="AZ8" s="191">
        <v>101.9</v>
      </c>
      <c r="BA8" s="214"/>
      <c r="BB8" s="137">
        <f t="shared" si="18"/>
        <v>19</v>
      </c>
      <c r="BC8" s="217">
        <f t="shared" si="19"/>
        <v>6.949999999999989</v>
      </c>
      <c r="BD8" s="220">
        <v>25</v>
      </c>
      <c r="BE8" s="191">
        <v>108.85</v>
      </c>
      <c r="BF8" s="234">
        <v>108.8</v>
      </c>
      <c r="BG8" s="234"/>
      <c r="BH8" s="137">
        <f t="shared" si="20"/>
        <v>18</v>
      </c>
      <c r="BI8" s="217">
        <f t="shared" si="21"/>
        <v>6.647000000000006</v>
      </c>
      <c r="BJ8" s="219">
        <v>109.88</v>
      </c>
      <c r="BK8" s="220">
        <v>43</v>
      </c>
      <c r="BL8" s="191">
        <v>5.617</v>
      </c>
      <c r="BM8" s="234"/>
      <c r="BN8" s="246">
        <v>63</v>
      </c>
      <c r="BO8" s="246">
        <v>66</v>
      </c>
      <c r="BP8" s="247">
        <v>44302</v>
      </c>
      <c r="BQ8" s="247">
        <v>44361</v>
      </c>
      <c r="BR8" s="2">
        <f t="shared" si="22"/>
        <v>58</v>
      </c>
      <c r="BS8" s="2">
        <f t="shared" si="25"/>
        <v>45</v>
      </c>
      <c r="BT8" s="241">
        <v>44347</v>
      </c>
      <c r="BU8" s="187">
        <f t="shared" si="26"/>
        <v>65.32758620689656</v>
      </c>
      <c r="BV8" s="137">
        <f t="shared" si="23"/>
        <v>22</v>
      </c>
      <c r="BW8" s="217">
        <f t="shared" si="24"/>
        <v>6.124</v>
      </c>
      <c r="BX8" s="220">
        <v>65</v>
      </c>
      <c r="BY8" s="191">
        <v>11.741</v>
      </c>
      <c r="BZ8" s="214"/>
      <c r="CA8" s="137">
        <f t="shared" si="27"/>
        <v>22</v>
      </c>
      <c r="CB8" s="217">
        <f t="shared" si="28"/>
        <v>3.827</v>
      </c>
      <c r="CC8" s="220">
        <v>87</v>
      </c>
      <c r="CD8" s="191">
        <v>15.568</v>
      </c>
      <c r="CE8" s="214"/>
      <c r="CF8" s="137">
        <v>21</v>
      </c>
      <c r="CG8" s="217">
        <f t="shared" si="29"/>
        <v>12.958</v>
      </c>
      <c r="CH8" s="220"/>
      <c r="CI8" s="191">
        <v>28.526</v>
      </c>
      <c r="CJ8" s="254"/>
      <c r="CK8" s="261">
        <v>4</v>
      </c>
      <c r="CL8" s="274">
        <f t="shared" si="30"/>
        <v>20.25</v>
      </c>
      <c r="CM8" s="188">
        <f t="shared" si="31"/>
        <v>1.037037037037037</v>
      </c>
      <c r="CN8" s="275">
        <f t="shared" si="32"/>
        <v>5.886999999999999</v>
      </c>
      <c r="CO8" s="188">
        <f t="shared" si="33"/>
        <v>2.201121114319688</v>
      </c>
    </row>
    <row r="9" spans="1:93" ht="12.75">
      <c r="A9" s="24">
        <v>5</v>
      </c>
      <c r="B9" s="20"/>
      <c r="C9" s="21">
        <v>69</v>
      </c>
      <c r="E9" s="128">
        <f t="shared" si="0"/>
        <v>23</v>
      </c>
      <c r="F9" s="21">
        <v>92</v>
      </c>
      <c r="G9" s="22">
        <v>24.37</v>
      </c>
      <c r="H9" s="23"/>
      <c r="I9" s="128">
        <f t="shared" si="1"/>
        <v>23</v>
      </c>
      <c r="J9" s="125">
        <f t="shared" si="2"/>
        <v>16.45</v>
      </c>
      <c r="K9" s="21">
        <v>115</v>
      </c>
      <c r="L9" s="22">
        <v>40.82</v>
      </c>
      <c r="N9" s="128">
        <f t="shared" si="3"/>
        <v>8</v>
      </c>
      <c r="O9" s="21">
        <v>123</v>
      </c>
      <c r="P9" s="22">
        <v>40.82</v>
      </c>
      <c r="R9" s="128">
        <f t="shared" si="4"/>
        <v>15</v>
      </c>
      <c r="S9" s="122">
        <f t="shared" si="5"/>
        <v>15.950000000000003</v>
      </c>
      <c r="T9" s="21">
        <v>138</v>
      </c>
      <c r="U9" s="22">
        <v>56.77</v>
      </c>
      <c r="W9" s="128">
        <f t="shared" si="6"/>
        <v>13</v>
      </c>
      <c r="X9" s="151">
        <f t="shared" si="7"/>
        <v>8.770000000000003</v>
      </c>
      <c r="Y9" s="21">
        <v>13</v>
      </c>
      <c r="Z9" s="22">
        <v>65.54</v>
      </c>
      <c r="AA9" s="141"/>
      <c r="AB9" s="128">
        <f t="shared" si="8"/>
        <v>0</v>
      </c>
      <c r="AC9" s="151">
        <f t="shared" si="9"/>
        <v>3.289999999999992</v>
      </c>
      <c r="AD9" s="21">
        <v>13</v>
      </c>
      <c r="AE9" s="134">
        <v>68.83</v>
      </c>
      <c r="AF9" s="144"/>
      <c r="AG9" s="137">
        <f t="shared" si="10"/>
        <v>5</v>
      </c>
      <c r="AH9" s="150">
        <f t="shared" si="11"/>
        <v>8.939999999999998</v>
      </c>
      <c r="AI9" s="147">
        <v>18</v>
      </c>
      <c r="AJ9" s="134">
        <v>77.77</v>
      </c>
      <c r="AK9" s="144"/>
      <c r="AL9" s="137">
        <f t="shared" si="12"/>
        <v>1</v>
      </c>
      <c r="AM9" s="150">
        <f t="shared" si="13"/>
        <v>4.3700000000000045</v>
      </c>
      <c r="AN9" s="155">
        <v>19</v>
      </c>
      <c r="AO9" s="159">
        <v>82.14</v>
      </c>
      <c r="AP9" s="141"/>
      <c r="AQ9" s="137">
        <f t="shared" si="14"/>
        <v>0</v>
      </c>
      <c r="AR9" s="150">
        <f t="shared" si="15"/>
        <v>7.340000000000003</v>
      </c>
      <c r="AS9" s="190">
        <v>19</v>
      </c>
      <c r="AT9" s="191">
        <v>89.48</v>
      </c>
      <c r="AU9" s="214"/>
      <c r="AV9" s="137">
        <f t="shared" si="16"/>
        <v>0</v>
      </c>
      <c r="AW9" s="217">
        <f t="shared" si="17"/>
        <v>3.6400000000000006</v>
      </c>
      <c r="AX9" s="219">
        <v>19</v>
      </c>
      <c r="AY9" s="220">
        <v>0</v>
      </c>
      <c r="AZ9" s="191">
        <v>93.12</v>
      </c>
      <c r="BA9" s="214"/>
      <c r="BB9" s="137">
        <f t="shared" si="18"/>
        <v>0</v>
      </c>
      <c r="BC9" s="217">
        <f t="shared" si="19"/>
        <v>8.269999999999996</v>
      </c>
      <c r="BD9" s="220">
        <v>0</v>
      </c>
      <c r="BE9" s="191">
        <v>101.39</v>
      </c>
      <c r="BF9" s="234">
        <v>101.39</v>
      </c>
      <c r="BG9" s="234"/>
      <c r="BH9" s="137">
        <f t="shared" si="20"/>
        <v>1</v>
      </c>
      <c r="BI9" s="217">
        <f t="shared" si="21"/>
        <v>0</v>
      </c>
      <c r="BJ9" s="219">
        <v>101.39</v>
      </c>
      <c r="BK9" s="220">
        <v>1</v>
      </c>
      <c r="BL9" s="191">
        <v>0</v>
      </c>
      <c r="BM9" s="234"/>
      <c r="BN9" s="246">
        <v>1</v>
      </c>
      <c r="BO9" s="246">
        <v>1</v>
      </c>
      <c r="BP9" s="247">
        <v>44302</v>
      </c>
      <c r="BQ9" s="247">
        <v>44361</v>
      </c>
      <c r="BR9" s="2">
        <f t="shared" si="22"/>
        <v>58</v>
      </c>
      <c r="BS9" s="2">
        <f t="shared" si="25"/>
        <v>45</v>
      </c>
      <c r="BT9" s="241">
        <v>44347</v>
      </c>
      <c r="BU9" s="187">
        <f t="shared" si="26"/>
        <v>1</v>
      </c>
      <c r="BV9" s="137">
        <f t="shared" si="23"/>
        <v>0</v>
      </c>
      <c r="BW9" s="217">
        <f t="shared" si="24"/>
        <v>5.944</v>
      </c>
      <c r="BX9" s="220">
        <v>1</v>
      </c>
      <c r="BY9" s="191">
        <v>5.944</v>
      </c>
      <c r="BZ9" s="214"/>
      <c r="CA9" s="137">
        <f t="shared" si="27"/>
        <v>16</v>
      </c>
      <c r="CB9" s="217">
        <f t="shared" si="28"/>
        <v>2.8050000000000006</v>
      </c>
      <c r="CC9" s="220">
        <v>17</v>
      </c>
      <c r="CD9" s="191">
        <v>8.749</v>
      </c>
      <c r="CE9" s="214"/>
      <c r="CF9" s="137">
        <v>40</v>
      </c>
      <c r="CG9" s="217">
        <f t="shared" si="29"/>
        <v>18.342999999999996</v>
      </c>
      <c r="CH9" s="220"/>
      <c r="CI9" s="191">
        <v>27.092</v>
      </c>
      <c r="CJ9" s="254"/>
      <c r="CK9" s="261">
        <v>5</v>
      </c>
      <c r="CL9" s="274">
        <f t="shared" si="30"/>
        <v>4.25</v>
      </c>
      <c r="CM9" s="188">
        <f t="shared" si="31"/>
        <v>9.411764705882353</v>
      </c>
      <c r="CN9" s="275">
        <f t="shared" si="32"/>
        <v>4.254749999999999</v>
      </c>
      <c r="CO9" s="188">
        <f t="shared" si="33"/>
        <v>4.311181620541748</v>
      </c>
    </row>
    <row r="10" spans="1:93" ht="12.75">
      <c r="A10" s="24">
        <v>6</v>
      </c>
      <c r="B10" s="20"/>
      <c r="C10" s="21">
        <v>24</v>
      </c>
      <c r="E10" s="128">
        <f t="shared" si="0"/>
        <v>5</v>
      </c>
      <c r="F10" s="21">
        <v>29</v>
      </c>
      <c r="G10" s="22">
        <v>18.1</v>
      </c>
      <c r="H10" s="23"/>
      <c r="I10" s="128">
        <f t="shared" si="1"/>
        <v>3</v>
      </c>
      <c r="J10" s="125">
        <f t="shared" si="2"/>
        <v>7.609999999999999</v>
      </c>
      <c r="K10" s="21">
        <v>32</v>
      </c>
      <c r="L10" s="22">
        <v>25.71</v>
      </c>
      <c r="N10" s="128">
        <f t="shared" si="3"/>
        <v>6</v>
      </c>
      <c r="O10" s="21">
        <v>38</v>
      </c>
      <c r="P10" s="22">
        <v>25.71</v>
      </c>
      <c r="R10" s="128">
        <f t="shared" si="4"/>
        <v>4</v>
      </c>
      <c r="S10" s="122">
        <f t="shared" si="5"/>
        <v>7.600000000000001</v>
      </c>
      <c r="T10" s="21">
        <v>42</v>
      </c>
      <c r="U10" s="22">
        <v>33.31</v>
      </c>
      <c r="W10" s="128">
        <f t="shared" si="6"/>
        <v>33</v>
      </c>
      <c r="X10" s="151">
        <f t="shared" si="7"/>
        <v>10.309999999999995</v>
      </c>
      <c r="Y10" s="21">
        <v>33</v>
      </c>
      <c r="Z10" s="22">
        <v>43.62</v>
      </c>
      <c r="AA10" s="141"/>
      <c r="AB10" s="128">
        <f t="shared" si="8"/>
        <v>37</v>
      </c>
      <c r="AC10" s="151">
        <f t="shared" si="9"/>
        <v>7.440000000000005</v>
      </c>
      <c r="AD10" s="21">
        <v>70</v>
      </c>
      <c r="AE10" s="134">
        <v>51.06</v>
      </c>
      <c r="AF10" s="144"/>
      <c r="AG10" s="137">
        <f t="shared" si="10"/>
        <v>58</v>
      </c>
      <c r="AH10" s="150">
        <f t="shared" si="11"/>
        <v>5.439999999999998</v>
      </c>
      <c r="AI10" s="147">
        <v>128</v>
      </c>
      <c r="AJ10" s="134">
        <v>56.5</v>
      </c>
      <c r="AK10" s="144"/>
      <c r="AL10" s="137">
        <f t="shared" si="12"/>
        <v>60</v>
      </c>
      <c r="AM10" s="150">
        <f t="shared" si="13"/>
        <v>5.770000000000003</v>
      </c>
      <c r="AN10" s="155">
        <v>188</v>
      </c>
      <c r="AO10" s="159">
        <v>62.27</v>
      </c>
      <c r="AP10" s="141"/>
      <c r="AQ10" s="137">
        <f t="shared" si="14"/>
        <v>63</v>
      </c>
      <c r="AR10" s="150">
        <f t="shared" si="15"/>
        <v>6.479999999999997</v>
      </c>
      <c r="AS10" s="190">
        <v>251</v>
      </c>
      <c r="AT10" s="191">
        <v>68.75</v>
      </c>
      <c r="AU10" s="214"/>
      <c r="AV10" s="137">
        <f t="shared" si="16"/>
        <v>11</v>
      </c>
      <c r="AW10" s="217">
        <f t="shared" si="17"/>
        <v>4.730000000000004</v>
      </c>
      <c r="AX10" s="219">
        <v>260</v>
      </c>
      <c r="AY10" s="220">
        <v>2</v>
      </c>
      <c r="AZ10" s="191">
        <v>73.48</v>
      </c>
      <c r="BA10" s="214"/>
      <c r="BB10" s="137">
        <f t="shared" si="18"/>
        <v>14</v>
      </c>
      <c r="BC10" s="217">
        <f t="shared" si="19"/>
        <v>11.539999999999992</v>
      </c>
      <c r="BD10" s="220">
        <v>16</v>
      </c>
      <c r="BE10" s="191">
        <v>85.02</v>
      </c>
      <c r="BF10" s="234">
        <v>84.97</v>
      </c>
      <c r="BG10" s="234"/>
      <c r="BH10" s="137">
        <f t="shared" si="20"/>
        <v>21</v>
      </c>
      <c r="BI10" s="217">
        <f t="shared" si="21"/>
        <v>13.116000000000014</v>
      </c>
      <c r="BJ10" s="219">
        <v>85.04</v>
      </c>
      <c r="BK10" s="220">
        <v>37</v>
      </c>
      <c r="BL10" s="191">
        <v>13.096</v>
      </c>
      <c r="BM10" s="234"/>
      <c r="BN10" s="246">
        <v>42</v>
      </c>
      <c r="BO10" s="246">
        <v>44</v>
      </c>
      <c r="BP10" s="247">
        <v>44305</v>
      </c>
      <c r="BQ10" s="247">
        <v>44361</v>
      </c>
      <c r="BR10" s="2">
        <f t="shared" si="22"/>
        <v>55</v>
      </c>
      <c r="BS10" s="2">
        <f t="shared" si="25"/>
        <v>42</v>
      </c>
      <c r="BT10" s="241">
        <v>44347</v>
      </c>
      <c r="BU10" s="187">
        <f t="shared" si="26"/>
        <v>43.527272727272724</v>
      </c>
      <c r="BV10" s="137">
        <f t="shared" si="23"/>
        <v>7</v>
      </c>
      <c r="BW10" s="217">
        <f t="shared" si="24"/>
        <v>9.927</v>
      </c>
      <c r="BX10" s="220">
        <v>44</v>
      </c>
      <c r="BY10" s="191">
        <v>23.023</v>
      </c>
      <c r="BZ10" s="214"/>
      <c r="CA10" s="137">
        <f t="shared" si="27"/>
        <v>17</v>
      </c>
      <c r="CB10" s="217">
        <f t="shared" si="28"/>
        <v>11.791</v>
      </c>
      <c r="CC10" s="220">
        <v>61</v>
      </c>
      <c r="CD10" s="191">
        <v>34.814</v>
      </c>
      <c r="CE10" s="214"/>
      <c r="CF10" s="137">
        <v>22</v>
      </c>
      <c r="CG10" s="217">
        <f t="shared" si="29"/>
        <v>12.652999999999999</v>
      </c>
      <c r="CH10" s="220"/>
      <c r="CI10" s="191">
        <v>47.467</v>
      </c>
      <c r="CJ10" s="254"/>
      <c r="CK10" s="261">
        <v>6</v>
      </c>
      <c r="CL10" s="274">
        <f t="shared" si="30"/>
        <v>14.75</v>
      </c>
      <c r="CM10" s="188">
        <f t="shared" si="31"/>
        <v>1.4915254237288136</v>
      </c>
      <c r="CN10" s="275">
        <f t="shared" si="32"/>
        <v>11.593500000000002</v>
      </c>
      <c r="CO10" s="188">
        <f t="shared" si="33"/>
        <v>1.091387415362056</v>
      </c>
    </row>
    <row r="11" spans="1:93" ht="12.75">
      <c r="A11" s="24">
        <v>7</v>
      </c>
      <c r="B11" s="20"/>
      <c r="C11" s="21">
        <v>23</v>
      </c>
      <c r="E11" s="128">
        <f t="shared" si="0"/>
        <v>15</v>
      </c>
      <c r="F11" s="21">
        <v>38</v>
      </c>
      <c r="G11" s="22">
        <v>33.17</v>
      </c>
      <c r="H11" s="23"/>
      <c r="I11" s="128">
        <f t="shared" si="1"/>
        <v>19</v>
      </c>
      <c r="J11" s="125">
        <f t="shared" si="2"/>
        <v>15.049999999999997</v>
      </c>
      <c r="K11" s="21">
        <v>57</v>
      </c>
      <c r="L11" s="22">
        <v>48.22</v>
      </c>
      <c r="N11" s="128">
        <f t="shared" si="3"/>
        <v>8</v>
      </c>
      <c r="O11" s="21">
        <v>65</v>
      </c>
      <c r="P11" s="22">
        <v>48.22</v>
      </c>
      <c r="R11" s="128">
        <f t="shared" si="4"/>
        <v>11</v>
      </c>
      <c r="S11" s="122">
        <f t="shared" si="5"/>
        <v>15.870000000000005</v>
      </c>
      <c r="T11" s="21">
        <v>76</v>
      </c>
      <c r="U11" s="22">
        <v>64.09</v>
      </c>
      <c r="W11" s="128">
        <f t="shared" si="6"/>
        <v>9</v>
      </c>
      <c r="X11" s="151">
        <f t="shared" si="7"/>
        <v>12.879999999999995</v>
      </c>
      <c r="Y11" s="21">
        <v>9</v>
      </c>
      <c r="Z11" s="22">
        <v>76.97</v>
      </c>
      <c r="AA11" s="141"/>
      <c r="AB11" s="128">
        <f t="shared" si="8"/>
        <v>8</v>
      </c>
      <c r="AC11" s="151">
        <f t="shared" si="9"/>
        <v>9.760000000000005</v>
      </c>
      <c r="AD11" s="21">
        <v>17</v>
      </c>
      <c r="AE11" s="134">
        <v>86.73</v>
      </c>
      <c r="AF11" s="144"/>
      <c r="AG11" s="137">
        <f t="shared" si="10"/>
        <v>24</v>
      </c>
      <c r="AH11" s="150">
        <f t="shared" si="11"/>
        <v>17.049999999999997</v>
      </c>
      <c r="AI11" s="147">
        <v>41</v>
      </c>
      <c r="AJ11" s="134">
        <v>103.78</v>
      </c>
      <c r="AK11" s="144"/>
      <c r="AL11" s="137">
        <f t="shared" si="12"/>
        <v>33</v>
      </c>
      <c r="AM11" s="150">
        <f t="shared" si="13"/>
        <v>19.129999999999995</v>
      </c>
      <c r="AN11" s="155">
        <v>74</v>
      </c>
      <c r="AO11" s="159">
        <v>122.91</v>
      </c>
      <c r="AP11" s="141"/>
      <c r="AQ11" s="137">
        <f t="shared" si="14"/>
        <v>36</v>
      </c>
      <c r="AR11" s="150">
        <f t="shared" si="15"/>
        <v>23.580000000000013</v>
      </c>
      <c r="AS11" s="190">
        <v>110</v>
      </c>
      <c r="AT11" s="191">
        <v>146.49</v>
      </c>
      <c r="AU11" s="214"/>
      <c r="AV11" s="137">
        <f t="shared" si="16"/>
        <v>26</v>
      </c>
      <c r="AW11" s="217">
        <f t="shared" si="17"/>
        <v>23.22999999999999</v>
      </c>
      <c r="AX11" s="219">
        <v>129</v>
      </c>
      <c r="AY11" s="220">
        <v>7</v>
      </c>
      <c r="AZ11" s="191">
        <v>169.72</v>
      </c>
      <c r="BA11" s="214"/>
      <c r="BB11" s="137">
        <f t="shared" si="18"/>
        <v>38</v>
      </c>
      <c r="BC11" s="217">
        <f t="shared" si="19"/>
        <v>19.53</v>
      </c>
      <c r="BD11" s="220">
        <v>45</v>
      </c>
      <c r="BE11" s="191">
        <v>189.25</v>
      </c>
      <c r="BF11" s="234">
        <v>188.84</v>
      </c>
      <c r="BG11" s="234"/>
      <c r="BH11" s="137">
        <f t="shared" si="20"/>
        <v>53</v>
      </c>
      <c r="BI11" s="217">
        <f t="shared" si="21"/>
        <v>18.787000000000006</v>
      </c>
      <c r="BJ11" s="219">
        <v>190.61</v>
      </c>
      <c r="BK11" s="220">
        <v>98</v>
      </c>
      <c r="BL11" s="191">
        <v>17.427</v>
      </c>
      <c r="BM11" s="234"/>
      <c r="BN11" s="246">
        <v>145</v>
      </c>
      <c r="BO11" s="246">
        <v>153</v>
      </c>
      <c r="BP11" s="247">
        <v>44302</v>
      </c>
      <c r="BQ11" s="247">
        <v>44361</v>
      </c>
      <c r="BR11" s="2">
        <f t="shared" si="22"/>
        <v>58</v>
      </c>
      <c r="BS11" s="2">
        <f t="shared" si="25"/>
        <v>45</v>
      </c>
      <c r="BT11" s="241">
        <v>44347</v>
      </c>
      <c r="BU11" s="187">
        <f t="shared" si="26"/>
        <v>151.20689655172413</v>
      </c>
      <c r="BV11" s="137">
        <f t="shared" si="23"/>
        <v>53</v>
      </c>
      <c r="BW11" s="217">
        <f t="shared" si="24"/>
        <v>24.910000000000004</v>
      </c>
      <c r="BX11" s="220">
        <v>151</v>
      </c>
      <c r="BY11" s="191">
        <v>42.337</v>
      </c>
      <c r="BZ11" s="214"/>
      <c r="CA11" s="137">
        <f t="shared" si="27"/>
        <v>54</v>
      </c>
      <c r="CB11" s="217">
        <f t="shared" si="28"/>
        <v>19.730999999999995</v>
      </c>
      <c r="CC11" s="220">
        <v>205</v>
      </c>
      <c r="CD11" s="191">
        <v>62.068</v>
      </c>
      <c r="CE11" s="214"/>
      <c r="CF11" s="137">
        <v>52</v>
      </c>
      <c r="CG11" s="217">
        <f t="shared" si="29"/>
        <v>19.769000000000005</v>
      </c>
      <c r="CH11" s="220"/>
      <c r="CI11" s="191">
        <v>81.837</v>
      </c>
      <c r="CJ11" s="254"/>
      <c r="CK11" s="261">
        <v>7</v>
      </c>
      <c r="CL11" s="274">
        <f t="shared" si="30"/>
        <v>49.5</v>
      </c>
      <c r="CM11" s="188">
        <f t="shared" si="31"/>
        <v>1.0505050505050506</v>
      </c>
      <c r="CN11" s="275">
        <f t="shared" si="32"/>
        <v>20.7395</v>
      </c>
      <c r="CO11" s="188">
        <f t="shared" si="33"/>
        <v>0.9532052363846769</v>
      </c>
    </row>
    <row r="12" spans="1:93" ht="12.75">
      <c r="A12" s="24">
        <v>8</v>
      </c>
      <c r="B12" s="20"/>
      <c r="C12" s="21">
        <v>1</v>
      </c>
      <c r="E12" s="128">
        <f t="shared" si="0"/>
        <v>3</v>
      </c>
      <c r="F12" s="21">
        <v>4</v>
      </c>
      <c r="G12" s="22">
        <v>12.79</v>
      </c>
      <c r="H12" s="23"/>
      <c r="I12" s="128">
        <f t="shared" si="1"/>
        <v>0</v>
      </c>
      <c r="J12" s="125">
        <f t="shared" si="2"/>
        <v>7.470000000000002</v>
      </c>
      <c r="K12" s="21">
        <v>4</v>
      </c>
      <c r="L12" s="22">
        <v>20.26</v>
      </c>
      <c r="N12" s="128">
        <f t="shared" si="3"/>
        <v>4</v>
      </c>
      <c r="O12" s="21">
        <v>8</v>
      </c>
      <c r="P12" s="22">
        <v>20.26</v>
      </c>
      <c r="R12" s="128">
        <f t="shared" si="4"/>
        <v>1</v>
      </c>
      <c r="S12" s="122">
        <f t="shared" si="5"/>
        <v>7.079999999999998</v>
      </c>
      <c r="T12" s="21">
        <v>9</v>
      </c>
      <c r="U12" s="22">
        <v>27.34</v>
      </c>
      <c r="W12" s="128">
        <f t="shared" si="6"/>
        <v>2</v>
      </c>
      <c r="X12" s="151">
        <f t="shared" si="7"/>
        <v>9.709999999999997</v>
      </c>
      <c r="Y12" s="21">
        <v>2</v>
      </c>
      <c r="Z12" s="22">
        <v>37.05</v>
      </c>
      <c r="AA12" s="141"/>
      <c r="AB12" s="128">
        <f t="shared" si="8"/>
        <v>10</v>
      </c>
      <c r="AC12" s="151">
        <f t="shared" si="9"/>
        <v>5.300000000000004</v>
      </c>
      <c r="AD12" s="21">
        <v>12</v>
      </c>
      <c r="AE12" s="134">
        <v>42.35</v>
      </c>
      <c r="AF12" s="144"/>
      <c r="AG12" s="137">
        <f t="shared" si="10"/>
        <v>5</v>
      </c>
      <c r="AH12" s="150">
        <f t="shared" si="11"/>
        <v>1.9299999999999997</v>
      </c>
      <c r="AI12" s="147">
        <v>17</v>
      </c>
      <c r="AJ12" s="134">
        <v>44.28</v>
      </c>
      <c r="AK12" s="144"/>
      <c r="AL12" s="137">
        <f t="shared" si="12"/>
        <v>9</v>
      </c>
      <c r="AM12" s="150">
        <f t="shared" si="13"/>
        <v>3.5899999999999963</v>
      </c>
      <c r="AN12" s="155">
        <v>26</v>
      </c>
      <c r="AO12" s="159">
        <v>47.87</v>
      </c>
      <c r="AP12" s="141"/>
      <c r="AQ12" s="137">
        <f t="shared" si="14"/>
        <v>13</v>
      </c>
      <c r="AR12" s="150">
        <f t="shared" si="15"/>
        <v>8.800000000000004</v>
      </c>
      <c r="AS12" s="190">
        <v>39</v>
      </c>
      <c r="AT12" s="191">
        <v>56.67</v>
      </c>
      <c r="AU12" s="214"/>
      <c r="AV12" s="137">
        <f t="shared" si="16"/>
        <v>16</v>
      </c>
      <c r="AW12" s="217">
        <f t="shared" si="17"/>
        <v>8.709999999999994</v>
      </c>
      <c r="AX12" s="219">
        <v>48</v>
      </c>
      <c r="AY12" s="220">
        <v>7</v>
      </c>
      <c r="AZ12" s="191">
        <v>65.38</v>
      </c>
      <c r="BA12" s="214"/>
      <c r="BB12" s="137">
        <f t="shared" si="18"/>
        <v>4</v>
      </c>
      <c r="BC12" s="217">
        <f t="shared" si="19"/>
        <v>8.89</v>
      </c>
      <c r="BD12" s="220">
        <v>11</v>
      </c>
      <c r="BE12" s="191">
        <v>74.27</v>
      </c>
      <c r="BF12" s="234">
        <v>74.14</v>
      </c>
      <c r="BG12" s="234"/>
      <c r="BH12" s="137">
        <f t="shared" si="20"/>
        <v>31</v>
      </c>
      <c r="BI12" s="217">
        <f t="shared" si="21"/>
        <v>9.803000000000011</v>
      </c>
      <c r="BJ12" s="219">
        <v>75</v>
      </c>
      <c r="BK12" s="220">
        <v>42</v>
      </c>
      <c r="BL12" s="191">
        <v>9.073</v>
      </c>
      <c r="BM12" s="234"/>
      <c r="BN12" s="246">
        <v>47</v>
      </c>
      <c r="BO12" s="246">
        <v>48</v>
      </c>
      <c r="BP12" s="247">
        <v>44302</v>
      </c>
      <c r="BQ12" s="247">
        <v>44361</v>
      </c>
      <c r="BR12" s="2">
        <f t="shared" si="22"/>
        <v>58</v>
      </c>
      <c r="BS12" s="2">
        <f aca="true" t="shared" si="34" ref="BS12:BS17">DAYS360(BP12,BT12)</f>
        <v>45</v>
      </c>
      <c r="BT12" s="241">
        <v>44347</v>
      </c>
      <c r="BU12" s="187">
        <f aca="true" t="shared" si="35" ref="BU12:BU17">(BO12-BN12)/BR12*BS12+BN12</f>
        <v>47.775862068965516</v>
      </c>
      <c r="BV12" s="137">
        <f t="shared" si="23"/>
        <v>6</v>
      </c>
      <c r="BW12" s="217">
        <f t="shared" si="24"/>
        <v>4.045</v>
      </c>
      <c r="BX12" s="220">
        <v>48</v>
      </c>
      <c r="BY12" s="191">
        <v>13.118</v>
      </c>
      <c r="BZ12" s="214"/>
      <c r="CA12" s="137">
        <f t="shared" si="27"/>
        <v>21</v>
      </c>
      <c r="CB12" s="217">
        <f t="shared" si="28"/>
        <v>10.88</v>
      </c>
      <c r="CC12" s="220">
        <v>69</v>
      </c>
      <c r="CD12" s="191">
        <v>23.998</v>
      </c>
      <c r="CE12" s="214"/>
      <c r="CF12" s="137">
        <v>26</v>
      </c>
      <c r="CG12" s="217">
        <f t="shared" si="29"/>
        <v>10.166999999999998</v>
      </c>
      <c r="CH12" s="220"/>
      <c r="CI12" s="191">
        <v>34.165</v>
      </c>
      <c r="CJ12" s="254"/>
      <c r="CK12" s="261">
        <v>8</v>
      </c>
      <c r="CL12" s="274">
        <f t="shared" si="30"/>
        <v>15.5</v>
      </c>
      <c r="CM12" s="188">
        <f t="shared" si="31"/>
        <v>1.6774193548387097</v>
      </c>
      <c r="CN12" s="275">
        <f t="shared" si="32"/>
        <v>8.404500000000004</v>
      </c>
      <c r="CO12" s="188">
        <f t="shared" si="33"/>
        <v>1.2097090844190603</v>
      </c>
    </row>
    <row r="13" spans="1:93" ht="12.75">
      <c r="A13" s="24">
        <v>9</v>
      </c>
      <c r="B13" s="20"/>
      <c r="C13" s="21">
        <v>29</v>
      </c>
      <c r="E13" s="128">
        <f t="shared" si="0"/>
        <v>1</v>
      </c>
      <c r="F13" s="21">
        <v>30</v>
      </c>
      <c r="G13" s="22">
        <v>21.5</v>
      </c>
      <c r="H13" s="23"/>
      <c r="I13" s="128">
        <f t="shared" si="1"/>
        <v>26</v>
      </c>
      <c r="J13" s="125">
        <f t="shared" si="2"/>
        <v>10.25</v>
      </c>
      <c r="K13" s="21">
        <v>56</v>
      </c>
      <c r="L13" s="22">
        <v>31.75</v>
      </c>
      <c r="N13" s="128">
        <f t="shared" si="3"/>
        <v>19</v>
      </c>
      <c r="O13" s="21">
        <v>75</v>
      </c>
      <c r="P13" s="22">
        <v>31.75</v>
      </c>
      <c r="R13" s="128">
        <f t="shared" si="4"/>
        <v>22</v>
      </c>
      <c r="S13" s="122">
        <f t="shared" si="5"/>
        <v>7.82</v>
      </c>
      <c r="T13" s="21">
        <v>97</v>
      </c>
      <c r="U13" s="22">
        <v>39.57</v>
      </c>
      <c r="W13" s="128">
        <f t="shared" si="6"/>
        <v>21</v>
      </c>
      <c r="X13" s="151">
        <f t="shared" si="7"/>
        <v>12.799999999999997</v>
      </c>
      <c r="Y13" s="21">
        <v>21</v>
      </c>
      <c r="Z13" s="22">
        <v>52.37</v>
      </c>
      <c r="AA13" s="141"/>
      <c r="AB13" s="128">
        <f t="shared" si="8"/>
        <v>17</v>
      </c>
      <c r="AC13" s="151">
        <f t="shared" si="9"/>
        <v>7.93</v>
      </c>
      <c r="AD13" s="21">
        <v>38</v>
      </c>
      <c r="AE13" s="134">
        <v>60.3</v>
      </c>
      <c r="AF13" s="144"/>
      <c r="AG13" s="137">
        <f t="shared" si="10"/>
        <v>11</v>
      </c>
      <c r="AH13" s="150">
        <f t="shared" si="11"/>
        <v>9.5</v>
      </c>
      <c r="AI13" s="147">
        <v>49</v>
      </c>
      <c r="AJ13" s="134">
        <v>69.8</v>
      </c>
      <c r="AK13" s="144"/>
      <c r="AL13" s="137">
        <f t="shared" si="12"/>
        <v>11</v>
      </c>
      <c r="AM13" s="150">
        <f t="shared" si="13"/>
        <v>8.730000000000004</v>
      </c>
      <c r="AN13" s="155">
        <v>60</v>
      </c>
      <c r="AO13" s="159">
        <v>78.53</v>
      </c>
      <c r="AP13" s="141"/>
      <c r="AQ13" s="137">
        <f t="shared" si="14"/>
        <v>32</v>
      </c>
      <c r="AR13" s="150">
        <f t="shared" si="15"/>
        <v>11.289999999999992</v>
      </c>
      <c r="AS13" s="190">
        <v>92</v>
      </c>
      <c r="AT13" s="191">
        <v>89.82</v>
      </c>
      <c r="AU13" s="214"/>
      <c r="AV13" s="137">
        <f t="shared" si="16"/>
        <v>15</v>
      </c>
      <c r="AW13" s="217">
        <f t="shared" si="17"/>
        <v>9.230000000000004</v>
      </c>
      <c r="AX13" s="219">
        <v>102</v>
      </c>
      <c r="AY13" s="220">
        <v>5</v>
      </c>
      <c r="AZ13" s="191">
        <v>99.05</v>
      </c>
      <c r="BA13" s="214"/>
      <c r="BB13" s="137">
        <f t="shared" si="18"/>
        <v>9</v>
      </c>
      <c r="BC13" s="217">
        <f t="shared" si="19"/>
        <v>8.14</v>
      </c>
      <c r="BD13" s="220">
        <v>14</v>
      </c>
      <c r="BE13" s="191">
        <v>107.19</v>
      </c>
      <c r="BF13" s="234">
        <v>107.04</v>
      </c>
      <c r="BG13" s="234"/>
      <c r="BH13" s="137">
        <f t="shared" si="20"/>
        <v>10</v>
      </c>
      <c r="BI13" s="217">
        <f t="shared" si="21"/>
        <v>6.043000000000006</v>
      </c>
      <c r="BJ13" s="219">
        <v>107.51</v>
      </c>
      <c r="BK13" s="220">
        <v>24</v>
      </c>
      <c r="BL13" s="191">
        <v>5.723</v>
      </c>
      <c r="BM13" s="234"/>
      <c r="BN13" s="246">
        <v>37</v>
      </c>
      <c r="BO13" s="246">
        <v>39</v>
      </c>
      <c r="BP13" s="247">
        <v>44302</v>
      </c>
      <c r="BQ13" s="247">
        <v>44361</v>
      </c>
      <c r="BR13" s="2">
        <f t="shared" si="22"/>
        <v>58</v>
      </c>
      <c r="BS13" s="2">
        <f t="shared" si="34"/>
        <v>45</v>
      </c>
      <c r="BT13" s="241">
        <v>44347</v>
      </c>
      <c r="BU13" s="187">
        <f t="shared" si="35"/>
        <v>38.55172413793103</v>
      </c>
      <c r="BV13" s="137">
        <f t="shared" si="23"/>
        <v>15</v>
      </c>
      <c r="BW13" s="217">
        <f t="shared" si="24"/>
        <v>8.029</v>
      </c>
      <c r="BX13" s="220">
        <v>39</v>
      </c>
      <c r="BY13" s="191">
        <v>13.752</v>
      </c>
      <c r="BZ13" s="214"/>
      <c r="CA13" s="137">
        <f t="shared" si="27"/>
        <v>9</v>
      </c>
      <c r="CB13" s="217">
        <f t="shared" si="28"/>
        <v>6.740999999999998</v>
      </c>
      <c r="CC13" s="220">
        <v>48</v>
      </c>
      <c r="CD13" s="191">
        <v>20.493</v>
      </c>
      <c r="CE13" s="214"/>
      <c r="CF13" s="137">
        <v>27</v>
      </c>
      <c r="CG13" s="217">
        <f t="shared" si="29"/>
        <v>5.865000000000002</v>
      </c>
      <c r="CH13" s="220"/>
      <c r="CI13" s="191">
        <v>26.358</v>
      </c>
      <c r="CJ13" s="254"/>
      <c r="CK13" s="261">
        <v>9</v>
      </c>
      <c r="CL13" s="274">
        <f t="shared" si="30"/>
        <v>10.75</v>
      </c>
      <c r="CM13" s="188">
        <f t="shared" si="31"/>
        <v>2.511627906976744</v>
      </c>
      <c r="CN13" s="275">
        <f t="shared" si="32"/>
        <v>7.238250000000001</v>
      </c>
      <c r="CO13" s="188">
        <f t="shared" si="33"/>
        <v>0.8102787275929957</v>
      </c>
    </row>
    <row r="14" spans="1:93" ht="12.75">
      <c r="A14" s="24">
        <v>10</v>
      </c>
      <c r="B14" s="20"/>
      <c r="C14" s="21">
        <v>14</v>
      </c>
      <c r="E14" s="128">
        <f t="shared" si="0"/>
        <v>8</v>
      </c>
      <c r="F14" s="21">
        <v>22</v>
      </c>
      <c r="G14" s="22">
        <v>22.17</v>
      </c>
      <c r="H14" s="23"/>
      <c r="I14" s="128">
        <f t="shared" si="1"/>
        <v>15</v>
      </c>
      <c r="J14" s="125">
        <f t="shared" si="2"/>
        <v>6.579999999999998</v>
      </c>
      <c r="K14" s="21">
        <v>37</v>
      </c>
      <c r="L14" s="22">
        <v>28.75</v>
      </c>
      <c r="N14" s="128">
        <f t="shared" si="3"/>
        <v>11</v>
      </c>
      <c r="O14" s="21">
        <v>48</v>
      </c>
      <c r="P14" s="22">
        <v>28.75</v>
      </c>
      <c r="R14" s="128">
        <f t="shared" si="4"/>
        <v>14</v>
      </c>
      <c r="S14" s="122">
        <f t="shared" si="5"/>
        <v>7.259999999999998</v>
      </c>
      <c r="T14" s="21">
        <v>62</v>
      </c>
      <c r="U14" s="22">
        <v>36.01</v>
      </c>
      <c r="W14" s="128">
        <f t="shared" si="6"/>
        <v>25</v>
      </c>
      <c r="X14" s="151">
        <f t="shared" si="7"/>
        <v>8.870000000000005</v>
      </c>
      <c r="Y14" s="21">
        <v>25</v>
      </c>
      <c r="Z14" s="22">
        <v>44.88</v>
      </c>
      <c r="AA14" s="141"/>
      <c r="AB14" s="128">
        <f t="shared" si="8"/>
        <v>31</v>
      </c>
      <c r="AC14" s="151">
        <f t="shared" si="9"/>
        <v>11.43</v>
      </c>
      <c r="AD14" s="21">
        <v>56</v>
      </c>
      <c r="AE14" s="134">
        <v>56.31</v>
      </c>
      <c r="AF14" s="144"/>
      <c r="AG14" s="137">
        <f t="shared" si="10"/>
        <v>21</v>
      </c>
      <c r="AH14" s="150">
        <f t="shared" si="11"/>
        <v>6.269999999999996</v>
      </c>
      <c r="AI14" s="147">
        <v>77</v>
      </c>
      <c r="AJ14" s="134">
        <v>62.58</v>
      </c>
      <c r="AK14" s="144"/>
      <c r="AL14" s="137">
        <f t="shared" si="12"/>
        <v>7</v>
      </c>
      <c r="AM14" s="150">
        <f t="shared" si="13"/>
        <v>6.269999999999996</v>
      </c>
      <c r="AN14" s="155">
        <v>84</v>
      </c>
      <c r="AO14" s="159">
        <v>68.85</v>
      </c>
      <c r="AP14" s="141"/>
      <c r="AQ14" s="137">
        <f t="shared" si="14"/>
        <v>7</v>
      </c>
      <c r="AR14" s="150">
        <f t="shared" si="15"/>
        <v>5.700000000000003</v>
      </c>
      <c r="AS14" s="190">
        <v>91</v>
      </c>
      <c r="AT14" s="191">
        <v>74.55</v>
      </c>
      <c r="AU14" s="214"/>
      <c r="AV14" s="137">
        <f t="shared" si="16"/>
        <v>7</v>
      </c>
      <c r="AW14" s="217">
        <f t="shared" si="17"/>
        <v>4.659999999999997</v>
      </c>
      <c r="AX14" s="219">
        <v>95</v>
      </c>
      <c r="AY14" s="220">
        <v>3</v>
      </c>
      <c r="AZ14" s="191">
        <v>79.21</v>
      </c>
      <c r="BA14" s="214"/>
      <c r="BB14" s="137">
        <f t="shared" si="18"/>
        <v>11</v>
      </c>
      <c r="BC14" s="217">
        <f t="shared" si="19"/>
        <v>5.670000000000002</v>
      </c>
      <c r="BD14" s="220">
        <v>14</v>
      </c>
      <c r="BE14" s="191">
        <v>84.88</v>
      </c>
      <c r="BF14" s="234">
        <v>84.88</v>
      </c>
      <c r="BG14" s="234"/>
      <c r="BH14" s="137">
        <f t="shared" si="20"/>
        <v>13</v>
      </c>
      <c r="BI14" s="217">
        <f t="shared" si="21"/>
        <v>5.878</v>
      </c>
      <c r="BJ14" s="219">
        <v>84.88</v>
      </c>
      <c r="BK14" s="220">
        <v>27</v>
      </c>
      <c r="BL14" s="191">
        <v>5.878</v>
      </c>
      <c r="BM14" s="234"/>
      <c r="BN14" s="246">
        <v>37</v>
      </c>
      <c r="BO14" s="246">
        <v>39</v>
      </c>
      <c r="BP14" s="247">
        <v>44302</v>
      </c>
      <c r="BQ14" s="247">
        <v>44361</v>
      </c>
      <c r="BR14" s="2">
        <f t="shared" si="22"/>
        <v>58</v>
      </c>
      <c r="BS14" s="2">
        <f t="shared" si="34"/>
        <v>45</v>
      </c>
      <c r="BT14" s="241">
        <v>44347</v>
      </c>
      <c r="BU14" s="187">
        <f t="shared" si="35"/>
        <v>38.55172413793103</v>
      </c>
      <c r="BV14" s="137">
        <f t="shared" si="23"/>
        <v>12</v>
      </c>
      <c r="BW14" s="217">
        <f t="shared" si="24"/>
        <v>8.986</v>
      </c>
      <c r="BX14" s="220">
        <v>39</v>
      </c>
      <c r="BY14" s="191">
        <v>14.864</v>
      </c>
      <c r="BZ14" s="214"/>
      <c r="CA14" s="137">
        <f t="shared" si="27"/>
        <v>11</v>
      </c>
      <c r="CB14" s="217">
        <f t="shared" si="28"/>
        <v>9.428</v>
      </c>
      <c r="CC14" s="220">
        <v>50</v>
      </c>
      <c r="CD14" s="191">
        <v>24.292</v>
      </c>
      <c r="CE14" s="214"/>
      <c r="CF14" s="137">
        <v>13</v>
      </c>
      <c r="CG14" s="217">
        <f t="shared" si="29"/>
        <v>7.908999999999999</v>
      </c>
      <c r="CH14" s="220"/>
      <c r="CI14" s="191">
        <v>32.201</v>
      </c>
      <c r="CJ14" s="254"/>
      <c r="CK14" s="261">
        <v>10</v>
      </c>
      <c r="CL14" s="274">
        <f t="shared" si="30"/>
        <v>11.75</v>
      </c>
      <c r="CM14" s="188">
        <f t="shared" si="31"/>
        <v>1.1063829787234043</v>
      </c>
      <c r="CN14" s="275">
        <f t="shared" si="32"/>
        <v>7.490500000000001</v>
      </c>
      <c r="CO14" s="188">
        <f t="shared" si="33"/>
        <v>1.0558707696415457</v>
      </c>
    </row>
    <row r="15" spans="1:93" ht="12.75">
      <c r="A15" s="24">
        <v>11</v>
      </c>
      <c r="B15" s="20"/>
      <c r="C15" s="21">
        <v>74</v>
      </c>
      <c r="E15" s="128">
        <f t="shared" si="0"/>
        <v>26</v>
      </c>
      <c r="F15" s="21">
        <v>100</v>
      </c>
      <c r="G15" s="22">
        <v>28.86</v>
      </c>
      <c r="H15" s="23"/>
      <c r="I15" s="128">
        <f t="shared" si="1"/>
        <v>60</v>
      </c>
      <c r="J15" s="125">
        <f t="shared" si="2"/>
        <v>14.560000000000002</v>
      </c>
      <c r="K15" s="21">
        <v>160</v>
      </c>
      <c r="L15" s="22">
        <v>43.42</v>
      </c>
      <c r="N15" s="128">
        <f t="shared" si="3"/>
        <v>38</v>
      </c>
      <c r="O15" s="21">
        <v>198</v>
      </c>
      <c r="P15" s="22">
        <v>43.42</v>
      </c>
      <c r="R15" s="128">
        <f t="shared" si="4"/>
        <v>38</v>
      </c>
      <c r="S15" s="122">
        <f t="shared" si="5"/>
        <v>14.07</v>
      </c>
      <c r="T15" s="21">
        <v>236</v>
      </c>
      <c r="U15" s="22">
        <v>57.49</v>
      </c>
      <c r="W15" s="128">
        <f t="shared" si="6"/>
        <v>65</v>
      </c>
      <c r="X15" s="151">
        <f t="shared" si="7"/>
        <v>18.050000000000004</v>
      </c>
      <c r="Y15" s="21">
        <v>65</v>
      </c>
      <c r="Z15" s="22">
        <v>75.54</v>
      </c>
      <c r="AA15" s="141"/>
      <c r="AB15" s="128">
        <f t="shared" si="8"/>
        <v>47</v>
      </c>
      <c r="AC15" s="151">
        <f t="shared" si="9"/>
        <v>13.969999999999999</v>
      </c>
      <c r="AD15" s="21">
        <v>112</v>
      </c>
      <c r="AE15" s="135">
        <v>89.51</v>
      </c>
      <c r="AF15" s="145"/>
      <c r="AG15" s="137">
        <f t="shared" si="10"/>
        <v>45</v>
      </c>
      <c r="AH15" s="150">
        <f t="shared" si="11"/>
        <v>14.259999999999991</v>
      </c>
      <c r="AI15" s="147">
        <v>157</v>
      </c>
      <c r="AJ15" s="135">
        <v>103.77</v>
      </c>
      <c r="AK15" s="145"/>
      <c r="AL15" s="137">
        <f t="shared" si="12"/>
        <v>49</v>
      </c>
      <c r="AM15" s="150">
        <f t="shared" si="13"/>
        <v>12.060000000000002</v>
      </c>
      <c r="AN15" s="155">
        <v>206</v>
      </c>
      <c r="AO15" s="160">
        <v>115.83</v>
      </c>
      <c r="AP15" s="141"/>
      <c r="AQ15" s="137">
        <f t="shared" si="14"/>
        <v>52</v>
      </c>
      <c r="AR15" s="150">
        <f t="shared" si="15"/>
        <v>17.260000000000005</v>
      </c>
      <c r="AS15" s="190">
        <v>258</v>
      </c>
      <c r="AT15" s="192">
        <v>133.09</v>
      </c>
      <c r="AU15" s="215"/>
      <c r="AV15" s="137">
        <f t="shared" si="16"/>
        <v>47</v>
      </c>
      <c r="AW15" s="217">
        <f t="shared" si="17"/>
        <v>14.819999999999993</v>
      </c>
      <c r="AX15" s="219">
        <v>279</v>
      </c>
      <c r="AY15" s="220">
        <v>26</v>
      </c>
      <c r="AZ15" s="192">
        <v>147.91</v>
      </c>
      <c r="BA15" s="215"/>
      <c r="BB15" s="137">
        <f t="shared" si="18"/>
        <v>53</v>
      </c>
      <c r="BC15" s="217">
        <f t="shared" si="19"/>
        <v>14.620000000000005</v>
      </c>
      <c r="BD15" s="220">
        <v>79</v>
      </c>
      <c r="BE15" s="192">
        <v>162.53</v>
      </c>
      <c r="BF15" s="234">
        <v>162.25</v>
      </c>
      <c r="BG15" s="234"/>
      <c r="BH15" s="137">
        <f t="shared" si="20"/>
        <v>60</v>
      </c>
      <c r="BI15" s="217">
        <f t="shared" si="21"/>
        <v>9.637</v>
      </c>
      <c r="BJ15" s="219">
        <v>163.15</v>
      </c>
      <c r="BK15" s="220">
        <v>139</v>
      </c>
      <c r="BL15" s="192">
        <v>9.017</v>
      </c>
      <c r="BM15" s="234"/>
      <c r="BN15" s="246">
        <v>196</v>
      </c>
      <c r="BO15" s="246">
        <v>205</v>
      </c>
      <c r="BP15" s="247">
        <v>44302</v>
      </c>
      <c r="BQ15" s="247">
        <v>44361</v>
      </c>
      <c r="BR15" s="2">
        <f t="shared" si="22"/>
        <v>58</v>
      </c>
      <c r="BS15" s="2">
        <f t="shared" si="34"/>
        <v>45</v>
      </c>
      <c r="BT15" s="241">
        <v>44347</v>
      </c>
      <c r="BU15" s="187">
        <f t="shared" si="35"/>
        <v>202.98275862068965</v>
      </c>
      <c r="BV15" s="137">
        <f t="shared" si="23"/>
        <v>64</v>
      </c>
      <c r="BW15" s="217">
        <f t="shared" si="24"/>
        <v>14.578</v>
      </c>
      <c r="BX15" s="220">
        <v>203</v>
      </c>
      <c r="BY15" s="191">
        <v>23.595</v>
      </c>
      <c r="BZ15" s="214"/>
      <c r="CA15" s="137">
        <f t="shared" si="27"/>
        <v>19</v>
      </c>
      <c r="CB15" s="217">
        <f t="shared" si="28"/>
        <v>14.579</v>
      </c>
      <c r="CC15" s="220">
        <v>222</v>
      </c>
      <c r="CD15" s="191">
        <v>38.174</v>
      </c>
      <c r="CE15" s="214"/>
      <c r="CF15" s="137">
        <v>13</v>
      </c>
      <c r="CG15" s="217">
        <f t="shared" si="29"/>
        <v>13.875999999999998</v>
      </c>
      <c r="CH15" s="220"/>
      <c r="CI15" s="191">
        <v>52.05</v>
      </c>
      <c r="CJ15" s="254"/>
      <c r="CK15" s="261">
        <v>11</v>
      </c>
      <c r="CL15" s="274">
        <f t="shared" si="30"/>
        <v>49</v>
      </c>
      <c r="CM15" s="188">
        <f t="shared" si="31"/>
        <v>0.2653061224489796</v>
      </c>
      <c r="CN15" s="275">
        <f t="shared" si="32"/>
        <v>13.353500000000002</v>
      </c>
      <c r="CO15" s="188">
        <f t="shared" si="33"/>
        <v>1.039128318418392</v>
      </c>
    </row>
    <row r="16" spans="1:93" ht="12.75">
      <c r="A16" s="24">
        <v>12</v>
      </c>
      <c r="B16" s="20"/>
      <c r="C16" s="21">
        <v>17</v>
      </c>
      <c r="E16" s="128">
        <f t="shared" si="0"/>
        <v>19</v>
      </c>
      <c r="F16" s="21">
        <v>36</v>
      </c>
      <c r="G16" s="22">
        <v>19.77</v>
      </c>
      <c r="H16" s="23"/>
      <c r="I16" s="128">
        <f t="shared" si="1"/>
        <v>35</v>
      </c>
      <c r="J16" s="125">
        <f t="shared" si="2"/>
        <v>5.129999999999999</v>
      </c>
      <c r="K16" s="21">
        <v>71</v>
      </c>
      <c r="L16" s="22">
        <v>24.9</v>
      </c>
      <c r="N16" s="128">
        <f t="shared" si="3"/>
        <v>22</v>
      </c>
      <c r="O16" s="21">
        <v>93</v>
      </c>
      <c r="P16" s="22">
        <v>24.9</v>
      </c>
      <c r="R16" s="128">
        <f t="shared" si="4"/>
        <v>25</v>
      </c>
      <c r="S16" s="122">
        <f t="shared" si="5"/>
        <v>6.460000000000001</v>
      </c>
      <c r="T16" s="21">
        <v>118</v>
      </c>
      <c r="U16" s="22">
        <v>31.36</v>
      </c>
      <c r="W16" s="128">
        <f t="shared" si="6"/>
        <v>43</v>
      </c>
      <c r="X16" s="151">
        <f t="shared" si="7"/>
        <v>3.5799999999999983</v>
      </c>
      <c r="Y16" s="21">
        <v>43</v>
      </c>
      <c r="Z16" s="22">
        <v>34.94</v>
      </c>
      <c r="AA16" s="141"/>
      <c r="AB16" s="128">
        <f t="shared" si="8"/>
        <v>48</v>
      </c>
      <c r="AC16" s="151">
        <f t="shared" si="9"/>
        <v>2.0600000000000023</v>
      </c>
      <c r="AD16" s="21">
        <v>91</v>
      </c>
      <c r="AE16" s="134">
        <v>37</v>
      </c>
      <c r="AF16" s="144"/>
      <c r="AG16" s="137">
        <f t="shared" si="10"/>
        <v>44</v>
      </c>
      <c r="AH16" s="150">
        <f t="shared" si="11"/>
        <v>1.0200000000000031</v>
      </c>
      <c r="AI16" s="147">
        <v>135</v>
      </c>
      <c r="AJ16" s="134">
        <v>38.02</v>
      </c>
      <c r="AK16" s="144"/>
      <c r="AL16" s="137">
        <f t="shared" si="12"/>
        <v>51</v>
      </c>
      <c r="AM16" s="150">
        <f t="shared" si="13"/>
        <v>1.7199999999999989</v>
      </c>
      <c r="AN16" s="155">
        <v>186</v>
      </c>
      <c r="AO16" s="159">
        <v>39.74</v>
      </c>
      <c r="AP16" s="141"/>
      <c r="AQ16" s="137">
        <f t="shared" si="14"/>
        <v>47</v>
      </c>
      <c r="AR16" s="150">
        <f t="shared" si="15"/>
        <v>1.509999999999998</v>
      </c>
      <c r="AS16" s="190">
        <v>233</v>
      </c>
      <c r="AT16" s="191">
        <v>41.25</v>
      </c>
      <c r="AU16" s="214"/>
      <c r="AV16" s="137">
        <f t="shared" si="16"/>
        <v>37</v>
      </c>
      <c r="AW16" s="217">
        <f t="shared" si="17"/>
        <v>1.3500000000000014</v>
      </c>
      <c r="AX16" s="219">
        <v>257</v>
      </c>
      <c r="AY16" s="220">
        <v>13</v>
      </c>
      <c r="AZ16" s="191">
        <v>42.6</v>
      </c>
      <c r="BA16" s="214"/>
      <c r="BB16" s="137">
        <f t="shared" si="18"/>
        <v>59</v>
      </c>
      <c r="BC16" s="217">
        <f t="shared" si="19"/>
        <v>3.299999999999997</v>
      </c>
      <c r="BD16" s="220">
        <v>72</v>
      </c>
      <c r="BE16" s="191">
        <v>45.9</v>
      </c>
      <c r="BF16" s="234">
        <v>45.77</v>
      </c>
      <c r="BG16" s="234"/>
      <c r="BH16" s="137">
        <f t="shared" si="20"/>
        <v>55</v>
      </c>
      <c r="BI16" s="217">
        <f t="shared" si="21"/>
        <v>4.265000000000008</v>
      </c>
      <c r="BJ16" s="219">
        <v>46.27</v>
      </c>
      <c r="BK16" s="220">
        <v>127</v>
      </c>
      <c r="BL16" s="191">
        <v>3.895</v>
      </c>
      <c r="BM16" s="234"/>
      <c r="BN16" s="246">
        <v>157</v>
      </c>
      <c r="BO16" s="246">
        <v>157</v>
      </c>
      <c r="BP16" s="247">
        <v>44302</v>
      </c>
      <c r="BQ16" s="247">
        <v>44361</v>
      </c>
      <c r="BR16" s="2">
        <f t="shared" si="22"/>
        <v>58</v>
      </c>
      <c r="BS16" s="2">
        <f t="shared" si="34"/>
        <v>45</v>
      </c>
      <c r="BT16" s="241">
        <v>44347</v>
      </c>
      <c r="BU16" s="187">
        <f t="shared" si="35"/>
        <v>157</v>
      </c>
      <c r="BV16" s="137">
        <f t="shared" si="23"/>
        <v>30</v>
      </c>
      <c r="BW16" s="217">
        <f t="shared" si="24"/>
        <v>1.6249999999999996</v>
      </c>
      <c r="BX16" s="220">
        <v>157</v>
      </c>
      <c r="BY16" s="191">
        <v>5.52</v>
      </c>
      <c r="BZ16" s="214"/>
      <c r="CA16" s="137">
        <f t="shared" si="27"/>
        <v>10</v>
      </c>
      <c r="CB16" s="217">
        <f t="shared" si="28"/>
        <v>1.6550000000000002</v>
      </c>
      <c r="CC16" s="220">
        <v>167</v>
      </c>
      <c r="CD16" s="191">
        <v>7.175</v>
      </c>
      <c r="CE16" s="214"/>
      <c r="CF16" s="137">
        <v>25</v>
      </c>
      <c r="CG16" s="217">
        <f t="shared" si="29"/>
        <v>3.8050000000000006</v>
      </c>
      <c r="CH16" s="220"/>
      <c r="CI16" s="191">
        <v>10.98</v>
      </c>
      <c r="CJ16" s="254"/>
      <c r="CK16" s="261">
        <v>12</v>
      </c>
      <c r="CL16" s="274">
        <f t="shared" si="30"/>
        <v>38.5</v>
      </c>
      <c r="CM16" s="188">
        <f t="shared" si="31"/>
        <v>0.6493506493506493</v>
      </c>
      <c r="CN16" s="275">
        <f t="shared" si="32"/>
        <v>2.7112500000000015</v>
      </c>
      <c r="CO16" s="188">
        <f t="shared" si="33"/>
        <v>1.4034117104656518</v>
      </c>
    </row>
    <row r="17" spans="1:93" ht="12.75">
      <c r="A17" s="24">
        <v>13</v>
      </c>
      <c r="B17" s="20"/>
      <c r="C17" s="21">
        <v>9</v>
      </c>
      <c r="E17" s="128">
        <f t="shared" si="0"/>
        <v>10</v>
      </c>
      <c r="F17" s="21">
        <v>19</v>
      </c>
      <c r="G17" s="22">
        <v>19.77</v>
      </c>
      <c r="H17" s="23"/>
      <c r="I17" s="128">
        <f t="shared" si="1"/>
        <v>21</v>
      </c>
      <c r="J17" s="125">
        <f t="shared" si="2"/>
        <v>5.07</v>
      </c>
      <c r="K17" s="21">
        <v>40</v>
      </c>
      <c r="L17" s="22">
        <v>24.84</v>
      </c>
      <c r="N17" s="128">
        <f t="shared" si="3"/>
        <v>14</v>
      </c>
      <c r="O17" s="21">
        <v>54</v>
      </c>
      <c r="P17" s="22">
        <v>24.84</v>
      </c>
      <c r="R17" s="128">
        <f t="shared" si="4"/>
        <v>15</v>
      </c>
      <c r="S17" s="122">
        <f t="shared" si="5"/>
        <v>2.539999999999999</v>
      </c>
      <c r="T17" s="21">
        <v>69</v>
      </c>
      <c r="U17" s="22">
        <v>27.38</v>
      </c>
      <c r="W17" s="128">
        <f t="shared" si="6"/>
        <v>29</v>
      </c>
      <c r="X17" s="151">
        <f t="shared" si="7"/>
        <v>2.900000000000002</v>
      </c>
      <c r="Y17" s="21">
        <f>2+27</f>
        <v>29</v>
      </c>
      <c r="Z17" s="22">
        <v>30.28</v>
      </c>
      <c r="AA17" s="141"/>
      <c r="AB17" s="128">
        <f t="shared" si="8"/>
        <v>0</v>
      </c>
      <c r="AC17" s="151">
        <f t="shared" si="9"/>
        <v>2.6899999999999977</v>
      </c>
      <c r="AD17" s="21">
        <v>29</v>
      </c>
      <c r="AE17" s="134">
        <v>32.97</v>
      </c>
      <c r="AF17" s="144"/>
      <c r="AG17" s="137">
        <f t="shared" si="10"/>
        <v>32</v>
      </c>
      <c r="AH17" s="150">
        <f t="shared" si="11"/>
        <v>2.8800000000000026</v>
      </c>
      <c r="AI17" s="146">
        <v>61</v>
      </c>
      <c r="AJ17" s="134">
        <v>35.85</v>
      </c>
      <c r="AK17" s="144"/>
      <c r="AL17" s="137">
        <f t="shared" si="12"/>
        <v>36</v>
      </c>
      <c r="AM17" s="150">
        <f t="shared" si="13"/>
        <v>3.780000000000001</v>
      </c>
      <c r="AN17" s="155">
        <v>97</v>
      </c>
      <c r="AO17" s="159">
        <v>39.63</v>
      </c>
      <c r="AP17" s="141"/>
      <c r="AQ17" s="137">
        <f t="shared" si="14"/>
        <v>33</v>
      </c>
      <c r="AR17" s="150">
        <f t="shared" si="15"/>
        <v>4.219999999999999</v>
      </c>
      <c r="AS17" s="190">
        <v>130</v>
      </c>
      <c r="AT17" s="191">
        <v>43.85</v>
      </c>
      <c r="AU17" s="214"/>
      <c r="AV17" s="137">
        <f>AX17-AS17+AY17</f>
        <v>33</v>
      </c>
      <c r="AW17" s="217">
        <f t="shared" si="17"/>
        <v>4.759999999999998</v>
      </c>
      <c r="AX17" s="219">
        <v>148</v>
      </c>
      <c r="AY17" s="220">
        <v>15</v>
      </c>
      <c r="AZ17" s="191">
        <v>48.61</v>
      </c>
      <c r="BA17" s="214"/>
      <c r="BB17" s="137">
        <f t="shared" si="18"/>
        <v>37</v>
      </c>
      <c r="BC17" s="217">
        <f t="shared" si="19"/>
        <v>4.07</v>
      </c>
      <c r="BD17" s="220">
        <v>52</v>
      </c>
      <c r="BE17" s="191">
        <v>52.68</v>
      </c>
      <c r="BF17" s="234">
        <v>52.68</v>
      </c>
      <c r="BG17" s="234"/>
      <c r="BH17" s="137">
        <f t="shared" si="20"/>
        <v>35</v>
      </c>
      <c r="BI17" s="217">
        <f t="shared" si="21"/>
        <v>3.673000000000002</v>
      </c>
      <c r="BJ17" s="219">
        <v>52.71</v>
      </c>
      <c r="BK17" s="220">
        <v>87</v>
      </c>
      <c r="BL17" s="191">
        <v>3.643</v>
      </c>
      <c r="BM17" s="234"/>
      <c r="BN17" s="246">
        <v>125</v>
      </c>
      <c r="BO17" s="246">
        <v>133</v>
      </c>
      <c r="BP17" s="247">
        <v>44302</v>
      </c>
      <c r="BQ17" s="247">
        <v>44361</v>
      </c>
      <c r="BR17" s="2">
        <f t="shared" si="22"/>
        <v>58</v>
      </c>
      <c r="BS17" s="2">
        <f t="shared" si="34"/>
        <v>45</v>
      </c>
      <c r="BT17" s="241">
        <v>44347</v>
      </c>
      <c r="BU17" s="187">
        <f t="shared" si="35"/>
        <v>131.20689655172413</v>
      </c>
      <c r="BV17" s="137">
        <f t="shared" si="23"/>
        <v>44</v>
      </c>
      <c r="BW17" s="217">
        <f t="shared" si="24"/>
        <v>5.1000000000000005</v>
      </c>
      <c r="BX17" s="220">
        <v>131</v>
      </c>
      <c r="BY17" s="191">
        <v>8.743</v>
      </c>
      <c r="BZ17" s="214"/>
      <c r="CA17" s="137">
        <f t="shared" si="27"/>
        <v>47</v>
      </c>
      <c r="CB17" s="217">
        <f t="shared" si="28"/>
        <v>4.699999999999999</v>
      </c>
      <c r="CC17" s="220">
        <v>178</v>
      </c>
      <c r="CD17" s="191">
        <v>13.443</v>
      </c>
      <c r="CE17" s="214"/>
      <c r="CF17" s="137">
        <v>42</v>
      </c>
      <c r="CG17" s="217">
        <f t="shared" si="29"/>
        <v>2.226000000000001</v>
      </c>
      <c r="CH17" s="220"/>
      <c r="CI17" s="191">
        <v>15.669</v>
      </c>
      <c r="CJ17" s="254"/>
      <c r="CK17" s="261">
        <v>13</v>
      </c>
      <c r="CL17" s="274">
        <f t="shared" si="30"/>
        <v>40.75</v>
      </c>
      <c r="CM17" s="188">
        <f t="shared" si="31"/>
        <v>1.030674846625767</v>
      </c>
      <c r="CN17" s="275">
        <f t="shared" si="32"/>
        <v>4.385750000000001</v>
      </c>
      <c r="CO17" s="188">
        <f t="shared" si="33"/>
        <v>0.5075528700906345</v>
      </c>
    </row>
    <row r="18" spans="1:93" ht="12.75">
      <c r="A18" s="24">
        <v>14</v>
      </c>
      <c r="B18" s="20"/>
      <c r="C18" s="21">
        <v>0</v>
      </c>
      <c r="E18" s="128">
        <f t="shared" si="0"/>
        <v>11</v>
      </c>
      <c r="F18" s="21">
        <v>11</v>
      </c>
      <c r="G18" s="22">
        <v>21.78</v>
      </c>
      <c r="H18" s="23"/>
      <c r="I18" s="128">
        <f t="shared" si="1"/>
        <v>3</v>
      </c>
      <c r="J18" s="125">
        <f t="shared" si="2"/>
        <v>10.049999999999997</v>
      </c>
      <c r="K18" s="21">
        <v>14</v>
      </c>
      <c r="L18" s="22">
        <v>31.83</v>
      </c>
      <c r="N18" s="128">
        <f t="shared" si="3"/>
        <v>8</v>
      </c>
      <c r="O18" s="21">
        <v>22</v>
      </c>
      <c r="P18" s="22">
        <v>31.83</v>
      </c>
      <c r="R18" s="128">
        <f t="shared" si="4"/>
        <v>18</v>
      </c>
      <c r="S18" s="122">
        <f t="shared" si="5"/>
        <v>10.760000000000005</v>
      </c>
      <c r="T18" s="21">
        <v>40</v>
      </c>
      <c r="U18" s="22">
        <v>42.59</v>
      </c>
      <c r="W18" s="128">
        <f t="shared" si="6"/>
        <v>44</v>
      </c>
      <c r="X18" s="151">
        <f t="shared" si="7"/>
        <v>15.459999999999994</v>
      </c>
      <c r="Y18" s="21">
        <v>44</v>
      </c>
      <c r="Z18" s="22">
        <v>58.05</v>
      </c>
      <c r="AA18" s="141"/>
      <c r="AB18" s="128">
        <f t="shared" si="8"/>
        <v>58</v>
      </c>
      <c r="AC18" s="151">
        <f t="shared" si="9"/>
        <v>13.13000000000001</v>
      </c>
      <c r="AD18" s="21">
        <v>102</v>
      </c>
      <c r="AE18" s="134">
        <v>71.18</v>
      </c>
      <c r="AF18" s="144"/>
      <c r="AG18" s="137">
        <f t="shared" si="10"/>
        <v>53</v>
      </c>
      <c r="AH18" s="150">
        <f t="shared" si="11"/>
        <v>10.239999999999995</v>
      </c>
      <c r="AI18" s="147">
        <v>155</v>
      </c>
      <c r="AJ18" s="134">
        <v>81.42</v>
      </c>
      <c r="AK18" s="144"/>
      <c r="AL18" s="137">
        <f t="shared" si="12"/>
        <v>75</v>
      </c>
      <c r="AM18" s="150">
        <f t="shared" si="13"/>
        <v>7.010000000000005</v>
      </c>
      <c r="AN18" s="155">
        <v>230</v>
      </c>
      <c r="AO18" s="159">
        <v>88.43</v>
      </c>
      <c r="AP18" s="141"/>
      <c r="AQ18" s="137">
        <f t="shared" si="14"/>
        <v>65</v>
      </c>
      <c r="AR18" s="150">
        <f t="shared" si="15"/>
        <v>12.649999999999991</v>
      </c>
      <c r="AS18" s="190">
        <v>295</v>
      </c>
      <c r="AT18" s="191">
        <v>101.08</v>
      </c>
      <c r="AU18" s="214"/>
      <c r="AV18" s="137">
        <f aca="true" t="shared" si="36" ref="AV18:AV35">AX18-AS18+AY18</f>
        <v>23</v>
      </c>
      <c r="AW18" s="217">
        <f t="shared" si="17"/>
        <v>4.060000000000002</v>
      </c>
      <c r="AX18" s="219">
        <v>311</v>
      </c>
      <c r="AY18" s="190">
        <v>7</v>
      </c>
      <c r="AZ18" s="191">
        <v>105.14</v>
      </c>
      <c r="BA18" s="214"/>
      <c r="BB18" s="137">
        <f t="shared" si="18"/>
        <v>51</v>
      </c>
      <c r="BC18" s="217">
        <f t="shared" si="19"/>
        <v>10.929999999999993</v>
      </c>
      <c r="BD18" s="190">
        <v>58</v>
      </c>
      <c r="BE18" s="191">
        <v>116.07</v>
      </c>
      <c r="BF18" s="234">
        <v>115.85</v>
      </c>
      <c r="BG18" s="234"/>
      <c r="BH18" s="137">
        <f t="shared" si="20"/>
        <v>21</v>
      </c>
      <c r="BI18" s="217">
        <f t="shared" si="21"/>
        <v>26.818000000000012</v>
      </c>
      <c r="BJ18" s="219">
        <v>123.88</v>
      </c>
      <c r="BK18" s="190">
        <v>79</v>
      </c>
      <c r="BL18" s="191">
        <v>19.008</v>
      </c>
      <c r="BM18" s="234"/>
      <c r="BN18" s="246">
        <v>94</v>
      </c>
      <c r="BO18" s="246">
        <v>97</v>
      </c>
      <c r="BP18" s="247">
        <v>44302</v>
      </c>
      <c r="BQ18" s="247">
        <v>44361</v>
      </c>
      <c r="BR18" s="2">
        <f aca="true" t="shared" si="37" ref="BR18:BR35">DAYS360(BP18,BQ18)</f>
        <v>58</v>
      </c>
      <c r="BS18" s="2">
        <f aca="true" t="shared" si="38" ref="BS18:BS35">DAYS360(BP18,BT18)</f>
        <v>45</v>
      </c>
      <c r="BT18" s="241">
        <v>44347</v>
      </c>
      <c r="BU18" s="187">
        <f aca="true" t="shared" si="39" ref="BU18:BU35">(BO18-BN18)/BR18*BS18+BN18</f>
        <v>96.32758620689656</v>
      </c>
      <c r="BV18" s="137">
        <f t="shared" si="23"/>
        <v>17</v>
      </c>
      <c r="BW18" s="217">
        <f t="shared" si="24"/>
        <v>16.568</v>
      </c>
      <c r="BX18" s="220">
        <v>96</v>
      </c>
      <c r="BY18" s="191">
        <v>35.576</v>
      </c>
      <c r="BZ18" s="214"/>
      <c r="CA18" s="137">
        <f t="shared" si="27"/>
        <v>21</v>
      </c>
      <c r="CB18" s="217">
        <f t="shared" si="28"/>
        <v>9.112000000000002</v>
      </c>
      <c r="CC18" s="220">
        <v>117</v>
      </c>
      <c r="CD18" s="191">
        <v>44.688</v>
      </c>
      <c r="CE18" s="214"/>
      <c r="CF18" s="137">
        <v>25</v>
      </c>
      <c r="CG18" s="217">
        <f t="shared" si="29"/>
        <v>10.317</v>
      </c>
      <c r="CH18" s="220"/>
      <c r="CI18" s="191">
        <v>55.005</v>
      </c>
      <c r="CJ18" s="254"/>
      <c r="CK18" s="261">
        <v>14</v>
      </c>
      <c r="CL18" s="274">
        <f t="shared" si="30"/>
        <v>27.5</v>
      </c>
      <c r="CM18" s="188">
        <f t="shared" si="31"/>
        <v>0.9090909090909091</v>
      </c>
      <c r="CN18" s="275">
        <f t="shared" si="32"/>
        <v>15.857000000000001</v>
      </c>
      <c r="CO18" s="188">
        <f t="shared" si="33"/>
        <v>0.6506274831304786</v>
      </c>
    </row>
    <row r="19" spans="1:93" ht="12.75">
      <c r="A19" s="24">
        <v>15</v>
      </c>
      <c r="B19" s="20"/>
      <c r="C19" s="21">
        <v>10</v>
      </c>
      <c r="E19" s="128">
        <f t="shared" si="0"/>
        <v>7</v>
      </c>
      <c r="F19" s="21">
        <v>17</v>
      </c>
      <c r="G19" s="22">
        <v>15.4</v>
      </c>
      <c r="H19" s="23"/>
      <c r="I19" s="128">
        <f t="shared" si="1"/>
        <v>17</v>
      </c>
      <c r="J19" s="125">
        <f t="shared" si="2"/>
        <v>6.639999999999999</v>
      </c>
      <c r="K19" s="21">
        <v>34</v>
      </c>
      <c r="L19" s="22">
        <v>22.04</v>
      </c>
      <c r="N19" s="128">
        <f t="shared" si="3"/>
        <v>11</v>
      </c>
      <c r="O19" s="21">
        <v>45</v>
      </c>
      <c r="P19" s="22">
        <v>22.04</v>
      </c>
      <c r="R19" s="128">
        <f t="shared" si="4"/>
        <v>17</v>
      </c>
      <c r="S19" s="122">
        <f t="shared" si="5"/>
        <v>4.34</v>
      </c>
      <c r="T19" s="21">
        <v>62</v>
      </c>
      <c r="U19" s="22">
        <v>26.38</v>
      </c>
      <c r="W19" s="128">
        <f t="shared" si="6"/>
        <v>37</v>
      </c>
      <c r="X19" s="151">
        <f t="shared" si="7"/>
        <v>5.150000000000002</v>
      </c>
      <c r="Y19" s="21">
        <v>37</v>
      </c>
      <c r="Z19" s="22">
        <v>31.53</v>
      </c>
      <c r="AA19" s="141"/>
      <c r="AB19" s="128">
        <f t="shared" si="8"/>
        <v>50</v>
      </c>
      <c r="AC19" s="151">
        <f t="shared" si="9"/>
        <v>5.350000000000001</v>
      </c>
      <c r="AD19" s="21">
        <v>87</v>
      </c>
      <c r="AE19" s="134">
        <v>36.88</v>
      </c>
      <c r="AF19" s="144"/>
      <c r="AG19" s="137">
        <f t="shared" si="10"/>
        <v>58</v>
      </c>
      <c r="AH19" s="150">
        <f t="shared" si="11"/>
        <v>7.299999999999997</v>
      </c>
      <c r="AI19" s="147">
        <v>145</v>
      </c>
      <c r="AJ19" s="134">
        <v>44.18</v>
      </c>
      <c r="AK19" s="144"/>
      <c r="AL19" s="137">
        <f t="shared" si="12"/>
        <v>52</v>
      </c>
      <c r="AM19" s="150">
        <f t="shared" si="13"/>
        <v>9.18</v>
      </c>
      <c r="AN19" s="155">
        <v>197</v>
      </c>
      <c r="AO19" s="159">
        <v>53.36</v>
      </c>
      <c r="AP19" s="141"/>
      <c r="AQ19" s="137">
        <f t="shared" si="14"/>
        <v>46</v>
      </c>
      <c r="AR19" s="150">
        <f t="shared" si="15"/>
        <v>9.46</v>
      </c>
      <c r="AS19" s="190">
        <v>243</v>
      </c>
      <c r="AT19" s="191">
        <v>62.82</v>
      </c>
      <c r="AU19" s="214"/>
      <c r="AV19" s="137">
        <f t="shared" si="36"/>
        <v>36</v>
      </c>
      <c r="AW19" s="217">
        <f t="shared" si="17"/>
        <v>9.309999999999995</v>
      </c>
      <c r="AX19" s="219">
        <v>269</v>
      </c>
      <c r="AY19" s="190">
        <v>10</v>
      </c>
      <c r="AZ19" s="191">
        <v>72.13</v>
      </c>
      <c r="BA19" s="214"/>
      <c r="BB19" s="137">
        <f t="shared" si="18"/>
        <v>38</v>
      </c>
      <c r="BC19" s="217">
        <f t="shared" si="19"/>
        <v>7.300000000000011</v>
      </c>
      <c r="BD19" s="190">
        <v>48</v>
      </c>
      <c r="BE19" s="191">
        <v>79.43</v>
      </c>
      <c r="BF19" s="234">
        <v>79.26</v>
      </c>
      <c r="BG19" s="234"/>
      <c r="BH19" s="137">
        <f t="shared" si="20"/>
        <v>39</v>
      </c>
      <c r="BI19" s="217">
        <f t="shared" si="21"/>
        <v>5.0589999999999975</v>
      </c>
      <c r="BJ19" s="219">
        <v>80.04</v>
      </c>
      <c r="BK19" s="190">
        <v>87</v>
      </c>
      <c r="BL19" s="191">
        <v>4.449</v>
      </c>
      <c r="BM19" s="234"/>
      <c r="BN19" s="246">
        <v>122</v>
      </c>
      <c r="BO19" s="246">
        <v>129</v>
      </c>
      <c r="BP19" s="247">
        <v>44302</v>
      </c>
      <c r="BQ19" s="247">
        <v>44361</v>
      </c>
      <c r="BR19" s="2">
        <f t="shared" si="37"/>
        <v>58</v>
      </c>
      <c r="BS19" s="2">
        <f t="shared" si="38"/>
        <v>45</v>
      </c>
      <c r="BT19" s="241">
        <v>44347</v>
      </c>
      <c r="BU19" s="187">
        <f t="shared" si="39"/>
        <v>127.43103448275862</v>
      </c>
      <c r="BV19" s="137">
        <f t="shared" si="23"/>
        <v>40</v>
      </c>
      <c r="BW19" s="217">
        <f t="shared" si="24"/>
        <v>3.6340000000000003</v>
      </c>
      <c r="BX19" s="220">
        <v>127</v>
      </c>
      <c r="BY19" s="191">
        <v>8.083</v>
      </c>
      <c r="BZ19" s="214"/>
      <c r="CA19" s="137">
        <f t="shared" si="27"/>
        <v>32</v>
      </c>
      <c r="CB19" s="217">
        <f t="shared" si="28"/>
        <v>2.1579999999999995</v>
      </c>
      <c r="CC19" s="220">
        <v>159</v>
      </c>
      <c r="CD19" s="191">
        <v>10.241</v>
      </c>
      <c r="CE19" s="214"/>
      <c r="CF19" s="137">
        <v>31</v>
      </c>
      <c r="CG19" s="217">
        <f t="shared" si="29"/>
        <v>0.822000000000001</v>
      </c>
      <c r="CH19" s="220"/>
      <c r="CI19" s="191">
        <v>11.063</v>
      </c>
      <c r="CJ19" s="254"/>
      <c r="CK19" s="261">
        <v>15</v>
      </c>
      <c r="CL19" s="274">
        <f t="shared" si="30"/>
        <v>37.25</v>
      </c>
      <c r="CM19" s="188">
        <f t="shared" si="31"/>
        <v>0.8322147651006712</v>
      </c>
      <c r="CN19" s="275">
        <f t="shared" si="32"/>
        <v>4.537750000000003</v>
      </c>
      <c r="CO19" s="188">
        <f t="shared" si="33"/>
        <v>0.18114704423998687</v>
      </c>
    </row>
    <row r="20" spans="1:93" ht="12.75">
      <c r="A20" s="24">
        <v>16</v>
      </c>
      <c r="B20" s="20"/>
      <c r="C20" s="21">
        <v>0</v>
      </c>
      <c r="E20" s="128">
        <f t="shared" si="0"/>
        <v>3</v>
      </c>
      <c r="F20" s="21">
        <v>3</v>
      </c>
      <c r="G20" s="22">
        <v>21.28</v>
      </c>
      <c r="H20" s="23"/>
      <c r="I20" s="128">
        <f t="shared" si="1"/>
        <v>8</v>
      </c>
      <c r="J20" s="125">
        <f t="shared" si="2"/>
        <v>4.459999999999997</v>
      </c>
      <c r="K20" s="21">
        <v>11</v>
      </c>
      <c r="L20" s="22">
        <v>25.74</v>
      </c>
      <c r="N20" s="128">
        <f t="shared" si="3"/>
        <v>11</v>
      </c>
      <c r="O20" s="21">
        <v>22</v>
      </c>
      <c r="P20" s="22">
        <v>25.74</v>
      </c>
      <c r="R20" s="128">
        <f t="shared" si="4"/>
        <v>0</v>
      </c>
      <c r="S20" s="122">
        <f t="shared" si="5"/>
        <v>3.5600000000000023</v>
      </c>
      <c r="T20" s="21">
        <v>22</v>
      </c>
      <c r="U20" s="22">
        <v>29.3</v>
      </c>
      <c r="W20" s="128">
        <f t="shared" si="6"/>
        <v>35</v>
      </c>
      <c r="X20" s="151">
        <f t="shared" si="7"/>
        <v>4.169999999999998</v>
      </c>
      <c r="Y20" s="21">
        <v>35</v>
      </c>
      <c r="Z20" s="22">
        <v>33.47</v>
      </c>
      <c r="AA20" s="141"/>
      <c r="AB20" s="128">
        <f t="shared" si="8"/>
        <v>24</v>
      </c>
      <c r="AC20" s="151">
        <f t="shared" si="9"/>
        <v>1.3000000000000043</v>
      </c>
      <c r="AD20" s="21">
        <v>59</v>
      </c>
      <c r="AE20" s="134">
        <v>34.77</v>
      </c>
      <c r="AF20" s="144"/>
      <c r="AG20" s="137">
        <f t="shared" si="10"/>
        <v>16</v>
      </c>
      <c r="AH20" s="150">
        <f t="shared" si="11"/>
        <v>0.5899999999999963</v>
      </c>
      <c r="AI20" s="147">
        <v>75</v>
      </c>
      <c r="AJ20" s="134">
        <v>35.36</v>
      </c>
      <c r="AK20" s="144"/>
      <c r="AL20" s="137">
        <f t="shared" si="12"/>
        <v>18</v>
      </c>
      <c r="AM20" s="150">
        <f t="shared" si="13"/>
        <v>1.3599999999999994</v>
      </c>
      <c r="AN20" s="155">
        <v>93</v>
      </c>
      <c r="AO20" s="159">
        <v>36.72</v>
      </c>
      <c r="AP20" s="141"/>
      <c r="AQ20" s="137">
        <f t="shared" si="14"/>
        <v>19</v>
      </c>
      <c r="AR20" s="150">
        <f t="shared" si="15"/>
        <v>0.6499999999999986</v>
      </c>
      <c r="AS20" s="190">
        <v>112</v>
      </c>
      <c r="AT20" s="191">
        <v>37.37</v>
      </c>
      <c r="AU20" s="214"/>
      <c r="AV20" s="137">
        <f t="shared" si="36"/>
        <v>13</v>
      </c>
      <c r="AW20" s="217">
        <f t="shared" si="17"/>
        <v>1.2000000000000028</v>
      </c>
      <c r="AX20" s="219">
        <v>119</v>
      </c>
      <c r="AY20" s="190">
        <v>6</v>
      </c>
      <c r="AZ20" s="191">
        <v>38.57</v>
      </c>
      <c r="BA20" s="214"/>
      <c r="BB20" s="137">
        <f t="shared" si="18"/>
        <v>19</v>
      </c>
      <c r="BC20" s="217">
        <f t="shared" si="19"/>
        <v>1.3200000000000003</v>
      </c>
      <c r="BD20" s="190">
        <v>25</v>
      </c>
      <c r="BE20" s="191">
        <v>39.89</v>
      </c>
      <c r="BF20" s="234">
        <v>39.89</v>
      </c>
      <c r="BG20" s="234"/>
      <c r="BH20" s="137">
        <f t="shared" si="20"/>
        <v>27</v>
      </c>
      <c r="BI20" s="217">
        <f t="shared" si="21"/>
        <v>11.725000000000001</v>
      </c>
      <c r="BJ20" s="219">
        <v>40.39</v>
      </c>
      <c r="BK20" s="190">
        <v>52</v>
      </c>
      <c r="BL20" s="191">
        <v>11.225</v>
      </c>
      <c r="BM20" s="234"/>
      <c r="BN20" s="246">
        <v>69</v>
      </c>
      <c r="BO20" s="246">
        <v>72</v>
      </c>
      <c r="BP20" s="247">
        <v>44302</v>
      </c>
      <c r="BQ20" s="247">
        <v>44361</v>
      </c>
      <c r="BR20" s="2">
        <f t="shared" si="37"/>
        <v>58</v>
      </c>
      <c r="BS20" s="2">
        <f t="shared" si="38"/>
        <v>45</v>
      </c>
      <c r="BT20" s="241">
        <v>44347</v>
      </c>
      <c r="BU20" s="187">
        <f t="shared" si="39"/>
        <v>71.32758620689656</v>
      </c>
      <c r="BV20" s="137">
        <f t="shared" si="23"/>
        <v>19</v>
      </c>
      <c r="BW20" s="217">
        <f t="shared" si="24"/>
        <v>9.059</v>
      </c>
      <c r="BX20" s="220">
        <v>71</v>
      </c>
      <c r="BY20" s="191">
        <v>20.284</v>
      </c>
      <c r="BZ20" s="214"/>
      <c r="CA20" s="137">
        <f t="shared" si="27"/>
        <v>22</v>
      </c>
      <c r="CB20" s="217">
        <f t="shared" si="28"/>
        <v>4.141000000000002</v>
      </c>
      <c r="CC20" s="220">
        <v>93</v>
      </c>
      <c r="CD20" s="191">
        <v>24.425</v>
      </c>
      <c r="CE20" s="214"/>
      <c r="CF20" s="137">
        <v>27</v>
      </c>
      <c r="CG20" s="217">
        <f t="shared" si="29"/>
        <v>4.158999999999999</v>
      </c>
      <c r="CH20" s="220"/>
      <c r="CI20" s="191">
        <v>28.584</v>
      </c>
      <c r="CJ20" s="254"/>
      <c r="CK20" s="261">
        <v>16</v>
      </c>
      <c r="CL20" s="274">
        <f t="shared" si="30"/>
        <v>21.75</v>
      </c>
      <c r="CM20" s="188">
        <f t="shared" si="31"/>
        <v>1.2413793103448276</v>
      </c>
      <c r="CN20" s="275">
        <f t="shared" si="32"/>
        <v>6.56125</v>
      </c>
      <c r="CO20" s="188">
        <f t="shared" si="33"/>
        <v>0.633873118689274</v>
      </c>
    </row>
    <row r="21" spans="1:93" ht="12.75">
      <c r="A21" s="24">
        <v>17</v>
      </c>
      <c r="B21" s="20"/>
      <c r="C21" s="21">
        <v>8</v>
      </c>
      <c r="E21" s="128">
        <f t="shared" si="0"/>
        <v>15</v>
      </c>
      <c r="F21" s="21">
        <v>23</v>
      </c>
      <c r="G21" s="22">
        <v>10.79</v>
      </c>
      <c r="H21" s="23"/>
      <c r="I21" s="128">
        <f t="shared" si="1"/>
        <v>19</v>
      </c>
      <c r="J21" s="125">
        <f t="shared" si="2"/>
        <v>12.32</v>
      </c>
      <c r="K21" s="21">
        <v>42</v>
      </c>
      <c r="L21" s="22">
        <v>23.11</v>
      </c>
      <c r="N21" s="128">
        <f t="shared" si="3"/>
        <v>23</v>
      </c>
      <c r="O21" s="21">
        <v>65</v>
      </c>
      <c r="P21" s="22">
        <v>23.11</v>
      </c>
      <c r="R21" s="128">
        <f t="shared" si="4"/>
        <v>23</v>
      </c>
      <c r="S21" s="122">
        <f t="shared" si="5"/>
        <v>8.02</v>
      </c>
      <c r="T21" s="21">
        <v>88</v>
      </c>
      <c r="U21" s="22">
        <v>31.13</v>
      </c>
      <c r="W21" s="128">
        <f t="shared" si="6"/>
        <v>53</v>
      </c>
      <c r="X21" s="151">
        <f t="shared" si="7"/>
        <v>8.500000000000004</v>
      </c>
      <c r="Y21" s="21">
        <v>53</v>
      </c>
      <c r="Z21" s="22">
        <v>39.63</v>
      </c>
      <c r="AA21" s="141"/>
      <c r="AB21" s="128">
        <f t="shared" si="8"/>
        <v>41</v>
      </c>
      <c r="AC21" s="151">
        <f t="shared" si="9"/>
        <v>3.9199999999999946</v>
      </c>
      <c r="AD21" s="21">
        <v>94</v>
      </c>
      <c r="AE21" s="134">
        <v>43.55</v>
      </c>
      <c r="AF21" s="144"/>
      <c r="AG21" s="137">
        <f t="shared" si="10"/>
        <v>35</v>
      </c>
      <c r="AH21" s="150">
        <f t="shared" si="11"/>
        <v>4.980000000000004</v>
      </c>
      <c r="AI21" s="147">
        <v>129</v>
      </c>
      <c r="AJ21" s="134">
        <v>48.53</v>
      </c>
      <c r="AK21" s="144"/>
      <c r="AL21" s="137">
        <f t="shared" si="12"/>
        <v>33</v>
      </c>
      <c r="AM21" s="150">
        <f t="shared" si="13"/>
        <v>4.589999999999996</v>
      </c>
      <c r="AN21" s="155">
        <v>162</v>
      </c>
      <c r="AO21" s="159">
        <v>53.12</v>
      </c>
      <c r="AP21" s="141"/>
      <c r="AQ21" s="137">
        <f t="shared" si="14"/>
        <v>22</v>
      </c>
      <c r="AR21" s="150">
        <f t="shared" si="15"/>
        <v>11.610000000000007</v>
      </c>
      <c r="AS21" s="190">
        <v>184</v>
      </c>
      <c r="AT21" s="191">
        <v>64.73</v>
      </c>
      <c r="AU21" s="214"/>
      <c r="AV21" s="137">
        <f t="shared" si="36"/>
        <v>9</v>
      </c>
      <c r="AW21" s="217">
        <f t="shared" si="17"/>
        <v>10.039999999999992</v>
      </c>
      <c r="AX21" s="219">
        <v>189</v>
      </c>
      <c r="AY21" s="190">
        <v>4</v>
      </c>
      <c r="AZ21" s="191">
        <v>74.77</v>
      </c>
      <c r="BA21" s="214"/>
      <c r="BB21" s="137">
        <f t="shared" si="18"/>
        <v>11</v>
      </c>
      <c r="BC21" s="217">
        <f t="shared" si="19"/>
        <v>11.689999999999998</v>
      </c>
      <c r="BD21" s="190">
        <v>15</v>
      </c>
      <c r="BE21" s="191">
        <v>86.46</v>
      </c>
      <c r="BF21" s="234">
        <v>86</v>
      </c>
      <c r="BG21" s="234"/>
      <c r="BH21" s="137">
        <f t="shared" si="20"/>
        <v>12</v>
      </c>
      <c r="BI21" s="217">
        <f t="shared" si="21"/>
        <v>9.978000000000009</v>
      </c>
      <c r="BJ21" s="219">
        <v>87.56</v>
      </c>
      <c r="BK21" s="190">
        <v>27</v>
      </c>
      <c r="BL21" s="191">
        <v>8.878</v>
      </c>
      <c r="BM21" s="234"/>
      <c r="BN21" s="246">
        <v>37</v>
      </c>
      <c r="BO21" s="246">
        <v>39</v>
      </c>
      <c r="BP21" s="247">
        <v>44302</v>
      </c>
      <c r="BQ21" s="247">
        <v>44361</v>
      </c>
      <c r="BR21" s="2">
        <f t="shared" si="37"/>
        <v>58</v>
      </c>
      <c r="BS21" s="2">
        <f t="shared" si="38"/>
        <v>45</v>
      </c>
      <c r="BT21" s="241">
        <v>44347</v>
      </c>
      <c r="BU21" s="187">
        <f t="shared" si="39"/>
        <v>38.55172413793103</v>
      </c>
      <c r="BV21" s="137">
        <f t="shared" si="23"/>
        <v>12</v>
      </c>
      <c r="BW21" s="217">
        <f t="shared" si="24"/>
        <v>5.563000000000001</v>
      </c>
      <c r="BX21" s="220">
        <v>39</v>
      </c>
      <c r="BY21" s="191">
        <v>14.441</v>
      </c>
      <c r="BZ21" s="214"/>
      <c r="CA21" s="137">
        <f t="shared" si="27"/>
        <v>12</v>
      </c>
      <c r="CB21" s="217">
        <f t="shared" si="28"/>
        <v>8.045999999999998</v>
      </c>
      <c r="CC21" s="220">
        <v>51</v>
      </c>
      <c r="CD21" s="191">
        <v>22.487</v>
      </c>
      <c r="CE21" s="214"/>
      <c r="CF21" s="137">
        <v>11</v>
      </c>
      <c r="CG21" s="217">
        <f t="shared" si="29"/>
        <v>10.611999999999998</v>
      </c>
      <c r="CH21" s="220"/>
      <c r="CI21" s="191">
        <v>33.099</v>
      </c>
      <c r="CJ21" s="254"/>
      <c r="CK21" s="261">
        <v>17</v>
      </c>
      <c r="CL21" s="274">
        <f t="shared" si="30"/>
        <v>11.75</v>
      </c>
      <c r="CM21" s="188">
        <f t="shared" si="31"/>
        <v>0.9361702127659575</v>
      </c>
      <c r="CN21" s="275">
        <f t="shared" si="32"/>
        <v>8.819250000000002</v>
      </c>
      <c r="CO21" s="188">
        <f t="shared" si="33"/>
        <v>1.2032769226408138</v>
      </c>
    </row>
    <row r="22" spans="1:93" ht="12.75">
      <c r="A22" s="24">
        <v>18</v>
      </c>
      <c r="B22" s="20"/>
      <c r="C22" s="21">
        <v>8</v>
      </c>
      <c r="E22" s="128">
        <f t="shared" si="0"/>
        <v>5</v>
      </c>
      <c r="F22" s="21">
        <v>13</v>
      </c>
      <c r="G22" s="22">
        <v>16.53</v>
      </c>
      <c r="H22" s="23"/>
      <c r="I22" s="128">
        <f t="shared" si="1"/>
        <v>23</v>
      </c>
      <c r="J22" s="125">
        <f t="shared" si="2"/>
        <v>9</v>
      </c>
      <c r="K22" s="21">
        <v>36</v>
      </c>
      <c r="L22" s="22">
        <v>25.53</v>
      </c>
      <c r="N22" s="128">
        <f t="shared" si="3"/>
        <v>13</v>
      </c>
      <c r="O22" s="21">
        <v>49</v>
      </c>
      <c r="P22" s="22">
        <v>25.53</v>
      </c>
      <c r="R22" s="128">
        <f t="shared" si="4"/>
        <v>15</v>
      </c>
      <c r="S22" s="122">
        <f t="shared" si="5"/>
        <v>9.129999999999995</v>
      </c>
      <c r="T22" s="21">
        <v>64</v>
      </c>
      <c r="U22" s="22">
        <v>34.66</v>
      </c>
      <c r="W22" s="128">
        <f t="shared" si="6"/>
        <v>31</v>
      </c>
      <c r="X22" s="151">
        <f t="shared" si="7"/>
        <v>9.190000000000005</v>
      </c>
      <c r="Y22" s="21">
        <v>31</v>
      </c>
      <c r="Z22" s="22">
        <v>43.85</v>
      </c>
      <c r="AA22" s="141"/>
      <c r="AB22" s="128">
        <f t="shared" si="8"/>
        <v>27</v>
      </c>
      <c r="AC22" s="151">
        <f t="shared" si="9"/>
        <v>3.1599999999999966</v>
      </c>
      <c r="AD22" s="21">
        <v>58</v>
      </c>
      <c r="AE22" s="134">
        <v>47.01</v>
      </c>
      <c r="AF22" s="144"/>
      <c r="AG22" s="137">
        <f t="shared" si="10"/>
        <v>8</v>
      </c>
      <c r="AH22" s="150">
        <f t="shared" si="11"/>
        <v>1.1900000000000048</v>
      </c>
      <c r="AI22" s="147">
        <v>66</v>
      </c>
      <c r="AJ22" s="134">
        <v>48.2</v>
      </c>
      <c r="AK22" s="144"/>
      <c r="AL22" s="137">
        <f t="shared" si="12"/>
        <v>8</v>
      </c>
      <c r="AM22" s="150">
        <f t="shared" si="13"/>
        <v>1.6699999999999946</v>
      </c>
      <c r="AN22" s="155">
        <v>74</v>
      </c>
      <c r="AO22" s="159">
        <v>49.87</v>
      </c>
      <c r="AP22" s="141"/>
      <c r="AQ22" s="137">
        <f t="shared" si="14"/>
        <v>11</v>
      </c>
      <c r="AR22" s="150">
        <f t="shared" si="15"/>
        <v>1.9500000000000028</v>
      </c>
      <c r="AS22" s="190">
        <v>85</v>
      </c>
      <c r="AT22" s="191">
        <v>51.82</v>
      </c>
      <c r="AU22" s="214"/>
      <c r="AV22" s="137">
        <f t="shared" si="36"/>
        <v>6</v>
      </c>
      <c r="AW22" s="217">
        <f t="shared" si="17"/>
        <v>1.3699999999999974</v>
      </c>
      <c r="AX22" s="219">
        <v>88</v>
      </c>
      <c r="AY22" s="190">
        <v>3</v>
      </c>
      <c r="AZ22" s="191">
        <v>53.19</v>
      </c>
      <c r="BA22" s="214"/>
      <c r="BB22" s="137">
        <f t="shared" si="18"/>
        <v>8</v>
      </c>
      <c r="BC22" s="217">
        <f t="shared" si="19"/>
        <v>1.4000000000000057</v>
      </c>
      <c r="BD22" s="190">
        <v>11</v>
      </c>
      <c r="BE22" s="191">
        <v>54.59</v>
      </c>
      <c r="BF22" s="234">
        <v>54.59</v>
      </c>
      <c r="BG22" s="234"/>
      <c r="BH22" s="137">
        <f t="shared" si="20"/>
        <v>10</v>
      </c>
      <c r="BI22" s="217">
        <f t="shared" si="21"/>
        <v>1.4819999999999922</v>
      </c>
      <c r="BJ22" s="219">
        <v>54.62</v>
      </c>
      <c r="BK22" s="190">
        <v>21</v>
      </c>
      <c r="BL22" s="191">
        <v>1.452</v>
      </c>
      <c r="BM22" s="234"/>
      <c r="BN22" s="246">
        <v>28</v>
      </c>
      <c r="BO22" s="246">
        <v>29</v>
      </c>
      <c r="BP22" s="247">
        <v>44302</v>
      </c>
      <c r="BQ22" s="247">
        <v>44361</v>
      </c>
      <c r="BR22" s="2">
        <f t="shared" si="37"/>
        <v>58</v>
      </c>
      <c r="BS22" s="2">
        <f t="shared" si="38"/>
        <v>45</v>
      </c>
      <c r="BT22" s="241">
        <v>44347</v>
      </c>
      <c r="BU22" s="187">
        <f t="shared" si="39"/>
        <v>28.775862068965516</v>
      </c>
      <c r="BV22" s="137">
        <f t="shared" si="23"/>
        <v>8</v>
      </c>
      <c r="BW22" s="217">
        <f t="shared" si="24"/>
        <v>2.501</v>
      </c>
      <c r="BX22" s="220">
        <v>29</v>
      </c>
      <c r="BY22" s="191">
        <v>3.953</v>
      </c>
      <c r="BZ22" s="214"/>
      <c r="CA22" s="137">
        <f t="shared" si="27"/>
        <v>9</v>
      </c>
      <c r="CB22" s="217">
        <f t="shared" si="28"/>
        <v>1.9310000000000005</v>
      </c>
      <c r="CC22" s="220">
        <v>38</v>
      </c>
      <c r="CD22" s="191">
        <v>5.884</v>
      </c>
      <c r="CE22" s="214"/>
      <c r="CF22" s="137">
        <v>8</v>
      </c>
      <c r="CG22" s="217">
        <f t="shared" si="29"/>
        <v>1.7119999999999997</v>
      </c>
      <c r="CH22" s="220"/>
      <c r="CI22" s="191">
        <v>7.596</v>
      </c>
      <c r="CJ22" s="254"/>
      <c r="CK22" s="261">
        <v>18</v>
      </c>
      <c r="CL22" s="274">
        <f t="shared" si="30"/>
        <v>8.75</v>
      </c>
      <c r="CM22" s="188">
        <f t="shared" si="31"/>
        <v>0.9142857142857143</v>
      </c>
      <c r="CN22" s="275">
        <f t="shared" si="32"/>
        <v>1.8284999999999996</v>
      </c>
      <c r="CO22" s="188">
        <f t="shared" si="33"/>
        <v>0.936286573694285</v>
      </c>
    </row>
    <row r="23" spans="1:93" ht="12.75">
      <c r="A23" s="24">
        <v>19</v>
      </c>
      <c r="B23" s="20"/>
      <c r="C23" s="21">
        <v>8</v>
      </c>
      <c r="E23" s="128">
        <f t="shared" si="0"/>
        <v>3</v>
      </c>
      <c r="F23" s="21">
        <v>11</v>
      </c>
      <c r="G23" s="22">
        <v>12.41</v>
      </c>
      <c r="H23" s="23"/>
      <c r="I23" s="128">
        <f t="shared" si="1"/>
        <v>5</v>
      </c>
      <c r="J23" s="125">
        <f t="shared" si="2"/>
        <v>8.530000000000001</v>
      </c>
      <c r="K23" s="21">
        <v>16</v>
      </c>
      <c r="L23" s="22">
        <v>20.94</v>
      </c>
      <c r="N23" s="128">
        <f t="shared" si="3"/>
        <v>22</v>
      </c>
      <c r="O23" s="21">
        <v>38</v>
      </c>
      <c r="P23" s="22">
        <v>20.94</v>
      </c>
      <c r="R23" s="128">
        <f t="shared" si="4"/>
        <v>19</v>
      </c>
      <c r="S23" s="122">
        <f t="shared" si="5"/>
        <v>4.899999999999999</v>
      </c>
      <c r="T23" s="21">
        <v>57</v>
      </c>
      <c r="U23" s="22">
        <v>25.84</v>
      </c>
      <c r="W23" s="128">
        <f t="shared" si="6"/>
        <v>28</v>
      </c>
      <c r="X23" s="151">
        <f t="shared" si="7"/>
        <v>10.790000000000003</v>
      </c>
      <c r="Y23" s="21">
        <v>28</v>
      </c>
      <c r="Z23" s="22">
        <v>36.63</v>
      </c>
      <c r="AA23" s="141"/>
      <c r="AB23" s="128">
        <f t="shared" si="8"/>
        <v>18</v>
      </c>
      <c r="AC23" s="151">
        <f t="shared" si="9"/>
        <v>12.029999999999994</v>
      </c>
      <c r="AD23" s="21">
        <v>46</v>
      </c>
      <c r="AE23" s="134">
        <v>48.66</v>
      </c>
      <c r="AF23" s="144"/>
      <c r="AG23" s="137">
        <f t="shared" si="10"/>
        <v>11</v>
      </c>
      <c r="AH23" s="150">
        <f t="shared" si="11"/>
        <v>7.190000000000005</v>
      </c>
      <c r="AI23" s="146">
        <v>57</v>
      </c>
      <c r="AJ23" s="134">
        <v>55.85</v>
      </c>
      <c r="AK23" s="144"/>
      <c r="AL23" s="137">
        <f t="shared" si="12"/>
        <v>11</v>
      </c>
      <c r="AM23" s="150">
        <f t="shared" si="13"/>
        <v>4.509999999999998</v>
      </c>
      <c r="AN23" s="155">
        <v>68</v>
      </c>
      <c r="AO23" s="159">
        <v>60.36</v>
      </c>
      <c r="AP23" s="141"/>
      <c r="AQ23" s="137">
        <f t="shared" si="14"/>
        <v>35</v>
      </c>
      <c r="AR23" s="150">
        <f t="shared" si="15"/>
        <v>6.489999999999995</v>
      </c>
      <c r="AS23" s="190">
        <v>103</v>
      </c>
      <c r="AT23" s="191">
        <v>66.85</v>
      </c>
      <c r="AU23" s="214"/>
      <c r="AV23" s="137">
        <f t="shared" si="36"/>
        <v>10</v>
      </c>
      <c r="AW23" s="217">
        <f t="shared" si="17"/>
        <v>13.100000000000009</v>
      </c>
      <c r="AX23" s="219">
        <v>112</v>
      </c>
      <c r="AY23" s="190">
        <v>1</v>
      </c>
      <c r="AZ23" s="191">
        <v>79.95</v>
      </c>
      <c r="BA23" s="214"/>
      <c r="BB23" s="137">
        <f t="shared" si="18"/>
        <v>12</v>
      </c>
      <c r="BC23" s="217">
        <f t="shared" si="19"/>
        <v>10.689999999999998</v>
      </c>
      <c r="BD23" s="190">
        <v>13</v>
      </c>
      <c r="BE23" s="191">
        <v>90.64</v>
      </c>
      <c r="BF23" s="234">
        <v>90.47</v>
      </c>
      <c r="BG23" s="234"/>
      <c r="BH23" s="137">
        <f t="shared" si="20"/>
        <v>10</v>
      </c>
      <c r="BI23" s="217">
        <f t="shared" si="21"/>
        <v>6.231999999999999</v>
      </c>
      <c r="BJ23" s="219">
        <v>91.28</v>
      </c>
      <c r="BK23" s="190">
        <v>23</v>
      </c>
      <c r="BL23" s="191">
        <v>5.592</v>
      </c>
      <c r="BM23" s="234"/>
      <c r="BN23" s="246">
        <v>34</v>
      </c>
      <c r="BO23" s="246">
        <v>35</v>
      </c>
      <c r="BP23" s="247">
        <v>44302</v>
      </c>
      <c r="BQ23" s="247">
        <v>44361</v>
      </c>
      <c r="BR23" s="2">
        <f t="shared" si="37"/>
        <v>58</v>
      </c>
      <c r="BS23" s="2">
        <f t="shared" si="38"/>
        <v>45</v>
      </c>
      <c r="BT23" s="241">
        <v>44347</v>
      </c>
      <c r="BU23" s="187">
        <f t="shared" si="39"/>
        <v>34.775862068965516</v>
      </c>
      <c r="BV23" s="137">
        <f t="shared" si="23"/>
        <v>12</v>
      </c>
      <c r="BW23" s="217">
        <f t="shared" si="24"/>
        <v>8.794</v>
      </c>
      <c r="BX23" s="220">
        <v>35</v>
      </c>
      <c r="BY23" s="191">
        <v>14.386</v>
      </c>
      <c r="BZ23" s="214"/>
      <c r="CA23" s="137">
        <f t="shared" si="27"/>
        <v>7</v>
      </c>
      <c r="CB23" s="217">
        <f t="shared" si="28"/>
        <v>10.477</v>
      </c>
      <c r="CC23" s="220">
        <v>42</v>
      </c>
      <c r="CD23" s="191">
        <v>24.863</v>
      </c>
      <c r="CE23" s="214"/>
      <c r="CF23" s="137">
        <v>8</v>
      </c>
      <c r="CG23" s="217">
        <f t="shared" si="29"/>
        <v>8.487000000000002</v>
      </c>
      <c r="CH23" s="220"/>
      <c r="CI23" s="191">
        <v>33.35</v>
      </c>
      <c r="CJ23" s="254"/>
      <c r="CK23" s="261">
        <v>19</v>
      </c>
      <c r="CL23" s="274">
        <f t="shared" si="30"/>
        <v>10.25</v>
      </c>
      <c r="CM23" s="188">
        <f t="shared" si="31"/>
        <v>0.7804878048780488</v>
      </c>
      <c r="CN23" s="275">
        <f t="shared" si="32"/>
        <v>9.04825</v>
      </c>
      <c r="CO23" s="188">
        <f t="shared" si="33"/>
        <v>0.9379714309396847</v>
      </c>
    </row>
    <row r="24" spans="1:93" ht="12.75">
      <c r="A24" s="24">
        <v>20</v>
      </c>
      <c r="B24" s="20"/>
      <c r="C24" s="21">
        <v>14</v>
      </c>
      <c r="E24" s="128">
        <f t="shared" si="0"/>
        <v>8</v>
      </c>
      <c r="F24" s="21">
        <v>22</v>
      </c>
      <c r="G24" s="22">
        <v>24.56</v>
      </c>
      <c r="H24" s="23"/>
      <c r="I24" s="128">
        <f t="shared" si="1"/>
        <v>17</v>
      </c>
      <c r="J24" s="125">
        <f t="shared" si="2"/>
        <v>18.540000000000003</v>
      </c>
      <c r="K24" s="21">
        <v>39</v>
      </c>
      <c r="L24" s="22">
        <v>43.1</v>
      </c>
      <c r="N24" s="128">
        <f t="shared" si="3"/>
        <v>9</v>
      </c>
      <c r="O24" s="21">
        <v>48</v>
      </c>
      <c r="P24" s="22">
        <v>43.1</v>
      </c>
      <c r="R24" s="128">
        <f t="shared" si="4"/>
        <v>13</v>
      </c>
      <c r="S24" s="122">
        <f t="shared" si="5"/>
        <v>10.939999999999998</v>
      </c>
      <c r="T24" s="21">
        <v>61</v>
      </c>
      <c r="U24" s="22">
        <v>54.04</v>
      </c>
      <c r="W24" s="128">
        <f t="shared" si="6"/>
        <v>26</v>
      </c>
      <c r="X24" s="151">
        <f t="shared" si="7"/>
        <v>9.350000000000001</v>
      </c>
      <c r="Y24" s="21">
        <v>26</v>
      </c>
      <c r="Z24" s="22">
        <v>63.39</v>
      </c>
      <c r="AA24" s="141"/>
      <c r="AB24" s="128">
        <f t="shared" si="8"/>
        <v>24</v>
      </c>
      <c r="AC24" s="151">
        <f t="shared" si="9"/>
        <v>5.849999999999994</v>
      </c>
      <c r="AD24" s="21">
        <v>50</v>
      </c>
      <c r="AE24" s="134">
        <v>69.24</v>
      </c>
      <c r="AF24" s="144"/>
      <c r="AG24" s="137">
        <f t="shared" si="10"/>
        <v>23</v>
      </c>
      <c r="AH24" s="150">
        <f t="shared" si="11"/>
        <v>6.550000000000011</v>
      </c>
      <c r="AI24" s="147">
        <v>73</v>
      </c>
      <c r="AJ24" s="134">
        <v>75.79</v>
      </c>
      <c r="AK24" s="144"/>
      <c r="AL24" s="137">
        <f t="shared" si="12"/>
        <v>26</v>
      </c>
      <c r="AM24" s="150">
        <f t="shared" si="13"/>
        <v>5.359999999999999</v>
      </c>
      <c r="AN24" s="155">
        <v>99</v>
      </c>
      <c r="AO24" s="159">
        <v>81.15</v>
      </c>
      <c r="AP24" s="141"/>
      <c r="AQ24" s="137">
        <f t="shared" si="14"/>
        <v>29</v>
      </c>
      <c r="AR24" s="150">
        <f t="shared" si="15"/>
        <v>7.819999999999993</v>
      </c>
      <c r="AS24" s="190">
        <v>128</v>
      </c>
      <c r="AT24" s="191">
        <v>88.97</v>
      </c>
      <c r="AU24" s="214"/>
      <c r="AV24" s="137">
        <f t="shared" si="36"/>
        <v>18</v>
      </c>
      <c r="AW24" s="217">
        <f t="shared" si="17"/>
        <v>6.8799999999999955</v>
      </c>
      <c r="AX24" s="219">
        <v>142</v>
      </c>
      <c r="AY24" s="190">
        <v>4</v>
      </c>
      <c r="AZ24" s="191">
        <v>95.85</v>
      </c>
      <c r="BA24" s="214"/>
      <c r="BB24" s="137">
        <f t="shared" si="18"/>
        <v>30</v>
      </c>
      <c r="BC24" s="217">
        <f t="shared" si="19"/>
        <v>5.109999999999999</v>
      </c>
      <c r="BD24" s="190">
        <v>34</v>
      </c>
      <c r="BE24" s="191">
        <v>100.96</v>
      </c>
      <c r="BF24" s="234">
        <v>100.96</v>
      </c>
      <c r="BG24" s="234"/>
      <c r="BH24" s="137">
        <f t="shared" si="20"/>
        <v>26</v>
      </c>
      <c r="BI24" s="217">
        <f t="shared" si="21"/>
        <v>5.457999999999998</v>
      </c>
      <c r="BJ24" s="219">
        <v>100.96</v>
      </c>
      <c r="BK24" s="190">
        <v>60</v>
      </c>
      <c r="BL24" s="191">
        <v>5.458</v>
      </c>
      <c r="BM24" s="234"/>
      <c r="BN24" s="246">
        <v>81</v>
      </c>
      <c r="BO24" s="246">
        <v>85</v>
      </c>
      <c r="BP24" s="247">
        <v>44302</v>
      </c>
      <c r="BQ24" s="247">
        <v>44361</v>
      </c>
      <c r="BR24" s="2">
        <f t="shared" si="37"/>
        <v>58</v>
      </c>
      <c r="BS24" s="2">
        <f t="shared" si="38"/>
        <v>45</v>
      </c>
      <c r="BT24" s="241">
        <v>44347</v>
      </c>
      <c r="BU24" s="187">
        <f t="shared" si="39"/>
        <v>84.10344827586206</v>
      </c>
      <c r="BV24" s="137">
        <f t="shared" si="23"/>
        <v>24</v>
      </c>
      <c r="BW24" s="217">
        <f t="shared" si="24"/>
        <v>6.132999999999999</v>
      </c>
      <c r="BX24" s="220">
        <v>84</v>
      </c>
      <c r="BY24" s="191">
        <v>11.591</v>
      </c>
      <c r="BZ24" s="214"/>
      <c r="CA24" s="137">
        <f t="shared" si="27"/>
        <v>17</v>
      </c>
      <c r="CB24" s="217">
        <f t="shared" si="28"/>
        <v>5.746</v>
      </c>
      <c r="CC24" s="220">
        <v>101</v>
      </c>
      <c r="CD24" s="191">
        <v>17.337</v>
      </c>
      <c r="CE24" s="214"/>
      <c r="CF24" s="137">
        <v>16</v>
      </c>
      <c r="CG24" s="217">
        <f t="shared" si="29"/>
        <v>5.116</v>
      </c>
      <c r="CH24" s="220"/>
      <c r="CI24" s="191">
        <v>22.453</v>
      </c>
      <c r="CJ24" s="254"/>
      <c r="CK24" s="261">
        <v>20</v>
      </c>
      <c r="CL24" s="274">
        <f t="shared" si="30"/>
        <v>24.25</v>
      </c>
      <c r="CM24" s="188">
        <f t="shared" si="31"/>
        <v>0.6597938144329897</v>
      </c>
      <c r="CN24" s="275">
        <f t="shared" si="32"/>
        <v>5.611749999999999</v>
      </c>
      <c r="CO24" s="188">
        <f t="shared" si="33"/>
        <v>0.9116585735287568</v>
      </c>
    </row>
    <row r="25" spans="1:93" ht="12.75">
      <c r="A25" s="24">
        <v>21</v>
      </c>
      <c r="B25" s="20"/>
      <c r="C25" s="21">
        <v>5</v>
      </c>
      <c r="E25" s="128">
        <f t="shared" si="0"/>
        <v>9</v>
      </c>
      <c r="F25" s="21">
        <v>14</v>
      </c>
      <c r="G25" s="22">
        <v>14.11</v>
      </c>
      <c r="H25" s="23"/>
      <c r="I25" s="128">
        <f t="shared" si="1"/>
        <v>15</v>
      </c>
      <c r="J25" s="125">
        <f t="shared" si="2"/>
        <v>11.620000000000001</v>
      </c>
      <c r="K25" s="21">
        <v>29</v>
      </c>
      <c r="L25" s="22">
        <v>25.73</v>
      </c>
      <c r="N25" s="128">
        <f t="shared" si="3"/>
        <v>11</v>
      </c>
      <c r="O25" s="21">
        <v>40</v>
      </c>
      <c r="P25" s="22">
        <v>25.73</v>
      </c>
      <c r="R25" s="128">
        <f t="shared" si="4"/>
        <v>12</v>
      </c>
      <c r="S25" s="122">
        <f t="shared" si="5"/>
        <v>10.73</v>
      </c>
      <c r="T25" s="21">
        <v>52</v>
      </c>
      <c r="U25" s="22">
        <v>36.46</v>
      </c>
      <c r="W25" s="128">
        <f t="shared" si="6"/>
        <v>25</v>
      </c>
      <c r="X25" s="151">
        <f t="shared" si="7"/>
        <v>12.199999999999996</v>
      </c>
      <c r="Y25" s="21">
        <v>25</v>
      </c>
      <c r="Z25" s="22">
        <v>48.66</v>
      </c>
      <c r="AA25" s="141"/>
      <c r="AB25" s="128">
        <f t="shared" si="8"/>
        <v>26</v>
      </c>
      <c r="AC25" s="151">
        <f t="shared" si="9"/>
        <v>12.870000000000005</v>
      </c>
      <c r="AD25" s="21">
        <v>51</v>
      </c>
      <c r="AE25" s="134">
        <v>61.53</v>
      </c>
      <c r="AF25" s="144"/>
      <c r="AG25" s="137">
        <f t="shared" si="10"/>
        <v>8</v>
      </c>
      <c r="AH25" s="150">
        <f t="shared" si="11"/>
        <v>8</v>
      </c>
      <c r="AI25" s="147">
        <v>59</v>
      </c>
      <c r="AJ25" s="134">
        <v>69.53</v>
      </c>
      <c r="AK25" s="144"/>
      <c r="AL25" s="137">
        <f t="shared" si="12"/>
        <v>19</v>
      </c>
      <c r="AM25" s="150">
        <f t="shared" si="13"/>
        <v>11.909999999999997</v>
      </c>
      <c r="AN25" s="155">
        <v>78</v>
      </c>
      <c r="AO25" s="159">
        <v>81.44</v>
      </c>
      <c r="AP25" s="141"/>
      <c r="AQ25" s="137">
        <f t="shared" si="14"/>
        <v>24</v>
      </c>
      <c r="AR25" s="150">
        <f t="shared" si="15"/>
        <v>11.900000000000006</v>
      </c>
      <c r="AS25" s="190">
        <v>102</v>
      </c>
      <c r="AT25" s="191">
        <v>93.34</v>
      </c>
      <c r="AU25" s="214"/>
      <c r="AV25" s="137">
        <f t="shared" si="36"/>
        <v>21</v>
      </c>
      <c r="AW25" s="217">
        <f t="shared" si="17"/>
        <v>12.72999999999999</v>
      </c>
      <c r="AX25" s="219">
        <v>116</v>
      </c>
      <c r="AY25" s="190">
        <v>7</v>
      </c>
      <c r="AZ25" s="191">
        <v>106.07</v>
      </c>
      <c r="BA25" s="214"/>
      <c r="BB25" s="137">
        <f t="shared" si="18"/>
        <v>23</v>
      </c>
      <c r="BC25" s="217">
        <f t="shared" si="19"/>
        <v>13.240000000000009</v>
      </c>
      <c r="BD25" s="190">
        <v>30</v>
      </c>
      <c r="BE25" s="191">
        <v>119.31</v>
      </c>
      <c r="BF25" s="234">
        <v>118.97</v>
      </c>
      <c r="BG25" s="234"/>
      <c r="BH25" s="137">
        <f t="shared" si="20"/>
        <v>24</v>
      </c>
      <c r="BI25" s="217">
        <f t="shared" si="21"/>
        <v>13.087999999999994</v>
      </c>
      <c r="BJ25" s="219">
        <v>120.61</v>
      </c>
      <c r="BK25" s="190">
        <v>54</v>
      </c>
      <c r="BL25" s="191">
        <v>11.788</v>
      </c>
      <c r="BM25" s="234"/>
      <c r="BN25" s="246">
        <v>77</v>
      </c>
      <c r="BO25" s="246">
        <v>82</v>
      </c>
      <c r="BP25" s="247">
        <v>44302</v>
      </c>
      <c r="BQ25" s="247">
        <v>44361</v>
      </c>
      <c r="BR25" s="2">
        <f t="shared" si="37"/>
        <v>58</v>
      </c>
      <c r="BS25" s="2">
        <f t="shared" si="38"/>
        <v>45</v>
      </c>
      <c r="BT25" s="241">
        <v>44347</v>
      </c>
      <c r="BU25" s="187">
        <f t="shared" si="39"/>
        <v>80.87931034482759</v>
      </c>
      <c r="BV25" s="137">
        <f t="shared" si="23"/>
        <v>27</v>
      </c>
      <c r="BW25" s="217">
        <f t="shared" si="24"/>
        <v>13.245999999999999</v>
      </c>
      <c r="BX25" s="220">
        <v>81</v>
      </c>
      <c r="BY25" s="191">
        <v>25.034</v>
      </c>
      <c r="BZ25" s="214"/>
      <c r="CA25" s="137">
        <f t="shared" si="27"/>
        <v>33</v>
      </c>
      <c r="CB25" s="217">
        <f t="shared" si="28"/>
        <v>12.063000000000002</v>
      </c>
      <c r="CC25" s="220">
        <v>114</v>
      </c>
      <c r="CD25" s="191">
        <v>37.097</v>
      </c>
      <c r="CE25" s="214"/>
      <c r="CF25" s="137">
        <v>18</v>
      </c>
      <c r="CG25" s="217">
        <f t="shared" si="29"/>
        <v>11.814999999999998</v>
      </c>
      <c r="CH25" s="220"/>
      <c r="CI25" s="191">
        <v>48.912</v>
      </c>
      <c r="CJ25" s="254"/>
      <c r="CK25" s="261">
        <v>21</v>
      </c>
      <c r="CL25" s="274">
        <f t="shared" si="30"/>
        <v>26.75</v>
      </c>
      <c r="CM25" s="188">
        <f t="shared" si="31"/>
        <v>0.6728971962616822</v>
      </c>
      <c r="CN25" s="275">
        <f t="shared" si="32"/>
        <v>12.90925</v>
      </c>
      <c r="CO25" s="188">
        <f t="shared" si="33"/>
        <v>0.9152351995662024</v>
      </c>
    </row>
    <row r="26" spans="1:93" ht="12.75">
      <c r="A26" s="24">
        <v>22</v>
      </c>
      <c r="B26" s="20"/>
      <c r="C26" s="21">
        <v>8</v>
      </c>
      <c r="E26" s="128">
        <f t="shared" si="0"/>
        <v>2</v>
      </c>
      <c r="F26" s="21">
        <v>10</v>
      </c>
      <c r="G26" s="22">
        <v>22.18</v>
      </c>
      <c r="H26" s="23"/>
      <c r="I26" s="128">
        <f t="shared" si="1"/>
        <v>3</v>
      </c>
      <c r="J26" s="125">
        <f t="shared" si="2"/>
        <v>12.880000000000003</v>
      </c>
      <c r="K26" s="21">
        <v>13</v>
      </c>
      <c r="L26" s="22">
        <v>35.06</v>
      </c>
      <c r="N26" s="128">
        <f t="shared" si="3"/>
        <v>2</v>
      </c>
      <c r="O26" s="21">
        <v>15</v>
      </c>
      <c r="P26" s="22">
        <v>35.06</v>
      </c>
      <c r="R26" s="128">
        <f t="shared" si="4"/>
        <v>2</v>
      </c>
      <c r="S26" s="122">
        <f t="shared" si="5"/>
        <v>12.25</v>
      </c>
      <c r="T26" s="21">
        <v>17</v>
      </c>
      <c r="U26" s="22">
        <v>47.31</v>
      </c>
      <c r="W26" s="128">
        <f t="shared" si="6"/>
        <v>2</v>
      </c>
      <c r="X26" s="151">
        <f t="shared" si="7"/>
        <v>13.5</v>
      </c>
      <c r="Y26" s="21">
        <v>2</v>
      </c>
      <c r="Z26" s="22">
        <v>60.81</v>
      </c>
      <c r="AA26" s="141"/>
      <c r="AB26" s="128">
        <f t="shared" si="8"/>
        <v>4</v>
      </c>
      <c r="AC26" s="151">
        <f t="shared" si="9"/>
        <v>8.200000000000003</v>
      </c>
      <c r="AD26" s="21">
        <v>6</v>
      </c>
      <c r="AE26" s="134">
        <v>69.01</v>
      </c>
      <c r="AF26" s="144"/>
      <c r="AG26" s="137">
        <f t="shared" si="10"/>
        <v>3</v>
      </c>
      <c r="AH26" s="150">
        <f t="shared" si="11"/>
        <v>12.599999999999994</v>
      </c>
      <c r="AI26" s="147">
        <v>9</v>
      </c>
      <c r="AJ26" s="134">
        <v>81.61</v>
      </c>
      <c r="AK26" s="144"/>
      <c r="AL26" s="137">
        <f t="shared" si="12"/>
        <v>22</v>
      </c>
      <c r="AM26" s="150">
        <f t="shared" si="13"/>
        <v>6.219999999999999</v>
      </c>
      <c r="AN26" s="155">
        <v>31</v>
      </c>
      <c r="AO26" s="159">
        <v>87.83</v>
      </c>
      <c r="AP26" s="141"/>
      <c r="AQ26" s="137">
        <f t="shared" si="14"/>
        <v>40</v>
      </c>
      <c r="AR26" s="150">
        <f t="shared" si="15"/>
        <v>16.629999999999995</v>
      </c>
      <c r="AS26" s="190">
        <v>71</v>
      </c>
      <c r="AT26" s="191">
        <v>104.46</v>
      </c>
      <c r="AU26" s="214"/>
      <c r="AV26" s="137">
        <f t="shared" si="36"/>
        <v>8</v>
      </c>
      <c r="AW26" s="217">
        <f t="shared" si="17"/>
        <v>14.060000000000002</v>
      </c>
      <c r="AX26" s="219">
        <v>78</v>
      </c>
      <c r="AY26" s="190">
        <v>1</v>
      </c>
      <c r="AZ26" s="191">
        <v>118.52</v>
      </c>
      <c r="BA26" s="214"/>
      <c r="BB26" s="137">
        <f t="shared" si="18"/>
        <v>10</v>
      </c>
      <c r="BC26" s="217">
        <f t="shared" si="19"/>
        <v>18.459999999999994</v>
      </c>
      <c r="BD26" s="190">
        <v>11</v>
      </c>
      <c r="BE26" s="191">
        <v>136.98</v>
      </c>
      <c r="BF26" s="234">
        <v>136.98</v>
      </c>
      <c r="BG26" s="234"/>
      <c r="BH26" s="137">
        <f t="shared" si="20"/>
        <v>35</v>
      </c>
      <c r="BI26" s="217">
        <f t="shared" si="21"/>
        <v>0.10700000000002774</v>
      </c>
      <c r="BJ26" s="219">
        <v>136.99</v>
      </c>
      <c r="BK26" s="190">
        <v>46</v>
      </c>
      <c r="BL26" s="191">
        <v>0.097</v>
      </c>
      <c r="BM26" s="234"/>
      <c r="BN26" s="246">
        <v>68</v>
      </c>
      <c r="BO26" s="246">
        <v>71</v>
      </c>
      <c r="BP26" s="247">
        <v>44302</v>
      </c>
      <c r="BQ26" s="247">
        <v>44361</v>
      </c>
      <c r="BR26" s="2">
        <f t="shared" si="37"/>
        <v>58</v>
      </c>
      <c r="BS26" s="2">
        <f t="shared" si="38"/>
        <v>45</v>
      </c>
      <c r="BT26" s="241">
        <v>44347</v>
      </c>
      <c r="BU26" s="187">
        <f t="shared" si="39"/>
        <v>70.32758620689656</v>
      </c>
      <c r="BV26" s="137">
        <f t="shared" si="23"/>
        <v>24</v>
      </c>
      <c r="BW26" s="217">
        <f t="shared" si="24"/>
        <v>16.892999999999997</v>
      </c>
      <c r="BX26" s="220">
        <v>70</v>
      </c>
      <c r="BY26" s="191">
        <v>16.99</v>
      </c>
      <c r="BZ26" s="214"/>
      <c r="CA26" s="137">
        <f t="shared" si="27"/>
        <v>22</v>
      </c>
      <c r="CB26" s="217">
        <f t="shared" si="28"/>
        <v>15.442000000000004</v>
      </c>
      <c r="CC26" s="220">
        <v>92</v>
      </c>
      <c r="CD26" s="191">
        <v>32.432</v>
      </c>
      <c r="CE26" s="214"/>
      <c r="CF26" s="137">
        <v>15</v>
      </c>
      <c r="CG26" s="217">
        <f t="shared" si="29"/>
        <v>14.527999999999999</v>
      </c>
      <c r="CH26" s="220"/>
      <c r="CI26" s="191">
        <v>46.96</v>
      </c>
      <c r="CJ26" s="254"/>
      <c r="CK26" s="261">
        <v>22</v>
      </c>
      <c r="CL26" s="274">
        <f t="shared" si="30"/>
        <v>22.75</v>
      </c>
      <c r="CM26" s="188">
        <f t="shared" si="31"/>
        <v>0.6593406593406593</v>
      </c>
      <c r="CN26" s="275">
        <f t="shared" si="32"/>
        <v>12.725500000000007</v>
      </c>
      <c r="CO26" s="188">
        <f t="shared" si="33"/>
        <v>1.1416447290872649</v>
      </c>
    </row>
    <row r="27" spans="1:93" ht="12.75">
      <c r="A27" s="24">
        <v>23</v>
      </c>
      <c r="B27" s="20"/>
      <c r="C27" s="21">
        <v>45</v>
      </c>
      <c r="E27" s="128">
        <f t="shared" si="0"/>
        <v>29</v>
      </c>
      <c r="F27" s="21">
        <v>74</v>
      </c>
      <c r="G27" s="22">
        <v>30.17</v>
      </c>
      <c r="H27" s="23"/>
      <c r="I27" s="128">
        <f t="shared" si="1"/>
        <v>45</v>
      </c>
      <c r="J27" s="125">
        <f t="shared" si="2"/>
        <v>28.07</v>
      </c>
      <c r="K27" s="21">
        <v>119</v>
      </c>
      <c r="L27" s="22">
        <v>58.24</v>
      </c>
      <c r="N27" s="128">
        <f t="shared" si="3"/>
        <v>19</v>
      </c>
      <c r="O27" s="21">
        <v>138</v>
      </c>
      <c r="P27" s="22">
        <v>58.24</v>
      </c>
      <c r="R27" s="128">
        <f t="shared" si="4"/>
        <v>22</v>
      </c>
      <c r="S27" s="122">
        <f t="shared" si="5"/>
        <v>19.359999999999992</v>
      </c>
      <c r="T27" s="21">
        <v>160</v>
      </c>
      <c r="U27" s="22">
        <v>77.6</v>
      </c>
      <c r="W27" s="128">
        <f t="shared" si="6"/>
        <v>55</v>
      </c>
      <c r="X27" s="151">
        <f t="shared" si="7"/>
        <v>27.11</v>
      </c>
      <c r="Y27" s="21">
        <v>55</v>
      </c>
      <c r="Z27" s="22">
        <v>104.71</v>
      </c>
      <c r="AA27" s="141"/>
      <c r="AB27" s="128">
        <f t="shared" si="8"/>
        <v>30</v>
      </c>
      <c r="AC27" s="151">
        <f t="shared" si="9"/>
        <v>29.049999999999997</v>
      </c>
      <c r="AD27" s="21">
        <v>85</v>
      </c>
      <c r="AE27" s="134">
        <v>133.76</v>
      </c>
      <c r="AF27" s="144"/>
      <c r="AG27" s="137">
        <f t="shared" si="10"/>
        <v>29</v>
      </c>
      <c r="AH27" s="150">
        <f t="shared" si="11"/>
        <v>28.22</v>
      </c>
      <c r="AI27" s="147">
        <v>114</v>
      </c>
      <c r="AJ27" s="134">
        <v>161.98</v>
      </c>
      <c r="AK27" s="144"/>
      <c r="AL27" s="137">
        <f t="shared" si="12"/>
        <v>31</v>
      </c>
      <c r="AM27" s="150">
        <f t="shared" si="13"/>
        <v>26.409999999999997</v>
      </c>
      <c r="AN27" s="155">
        <v>145</v>
      </c>
      <c r="AO27" s="159">
        <v>188.39</v>
      </c>
      <c r="AP27" s="141"/>
      <c r="AQ27" s="137">
        <f t="shared" si="14"/>
        <v>30</v>
      </c>
      <c r="AR27" s="150">
        <f t="shared" si="15"/>
        <v>33.670000000000016</v>
      </c>
      <c r="AS27" s="190">
        <v>175</v>
      </c>
      <c r="AT27" s="191">
        <v>222.06</v>
      </c>
      <c r="AU27" s="214"/>
      <c r="AV27" s="137">
        <f t="shared" si="36"/>
        <v>30</v>
      </c>
      <c r="AW27" s="217">
        <f t="shared" si="17"/>
        <v>33.5</v>
      </c>
      <c r="AX27" s="219">
        <v>196</v>
      </c>
      <c r="AY27" s="190">
        <v>9</v>
      </c>
      <c r="AZ27" s="191">
        <v>255.56</v>
      </c>
      <c r="BA27" s="214"/>
      <c r="BB27" s="137">
        <f t="shared" si="18"/>
        <v>24</v>
      </c>
      <c r="BC27" s="217">
        <f t="shared" si="19"/>
        <v>23.29000000000002</v>
      </c>
      <c r="BD27" s="190">
        <v>33</v>
      </c>
      <c r="BE27" s="191">
        <v>278.85</v>
      </c>
      <c r="BF27" s="234">
        <v>278.6</v>
      </c>
      <c r="BG27" s="234"/>
      <c r="BH27" s="137">
        <f t="shared" si="20"/>
        <v>26</v>
      </c>
      <c r="BI27" s="217">
        <f t="shared" si="21"/>
        <v>11.814999999999998</v>
      </c>
      <c r="BJ27" s="219">
        <v>280.94</v>
      </c>
      <c r="BK27" s="190">
        <v>59</v>
      </c>
      <c r="BL27" s="191">
        <v>9.725</v>
      </c>
      <c r="BM27" s="234"/>
      <c r="BN27" s="246">
        <v>85</v>
      </c>
      <c r="BO27" s="246">
        <v>88</v>
      </c>
      <c r="BP27" s="247">
        <v>44302</v>
      </c>
      <c r="BQ27" s="247">
        <v>44361</v>
      </c>
      <c r="BR27" s="2">
        <f t="shared" si="37"/>
        <v>58</v>
      </c>
      <c r="BS27" s="2">
        <f t="shared" si="38"/>
        <v>45</v>
      </c>
      <c r="BT27" s="241">
        <v>44347</v>
      </c>
      <c r="BU27" s="187">
        <f t="shared" si="39"/>
        <v>87.32758620689656</v>
      </c>
      <c r="BV27" s="137">
        <f t="shared" si="23"/>
        <v>28</v>
      </c>
      <c r="BW27" s="217">
        <f t="shared" si="24"/>
        <v>17.560000000000002</v>
      </c>
      <c r="BX27" s="220">
        <v>87</v>
      </c>
      <c r="BY27" s="191">
        <v>27.285</v>
      </c>
      <c r="BZ27" s="214"/>
      <c r="CA27" s="137">
        <f t="shared" si="27"/>
        <v>20</v>
      </c>
      <c r="CB27" s="217">
        <f t="shared" si="28"/>
        <v>17.546000000000003</v>
      </c>
      <c r="CC27" s="220">
        <v>107</v>
      </c>
      <c r="CD27" s="191">
        <v>44.831</v>
      </c>
      <c r="CE27" s="214"/>
      <c r="CF27" s="137">
        <v>25</v>
      </c>
      <c r="CG27" s="217">
        <f t="shared" si="29"/>
        <v>18.425999999999995</v>
      </c>
      <c r="CH27" s="220"/>
      <c r="CI27" s="191">
        <v>63.257</v>
      </c>
      <c r="CJ27" s="254"/>
      <c r="CK27" s="261">
        <v>23</v>
      </c>
      <c r="CL27" s="274">
        <f t="shared" si="30"/>
        <v>24.5</v>
      </c>
      <c r="CM27" s="188">
        <f t="shared" si="31"/>
        <v>1.0204081632653061</v>
      </c>
      <c r="CN27" s="275">
        <f t="shared" si="32"/>
        <v>17.552750000000007</v>
      </c>
      <c r="CO27" s="188">
        <f t="shared" si="33"/>
        <v>1.049750039167651</v>
      </c>
    </row>
    <row r="28" spans="1:93" ht="12.75">
      <c r="A28" s="24">
        <v>24</v>
      </c>
      <c r="B28" s="20"/>
      <c r="C28" s="21">
        <v>0</v>
      </c>
      <c r="E28" s="128">
        <f t="shared" si="0"/>
        <v>0</v>
      </c>
      <c r="F28" s="21">
        <v>0</v>
      </c>
      <c r="G28" s="22">
        <v>15.34</v>
      </c>
      <c r="H28" s="23"/>
      <c r="I28" s="128">
        <f t="shared" si="1"/>
        <v>2</v>
      </c>
      <c r="J28" s="125">
        <f t="shared" si="2"/>
        <v>9.23</v>
      </c>
      <c r="K28" s="21">
        <v>2</v>
      </c>
      <c r="L28" s="22">
        <v>24.57</v>
      </c>
      <c r="N28" s="128">
        <f t="shared" si="3"/>
        <v>1</v>
      </c>
      <c r="O28" s="21">
        <v>3</v>
      </c>
      <c r="P28" s="22">
        <v>24.57</v>
      </c>
      <c r="R28" s="128">
        <f t="shared" si="4"/>
        <v>0</v>
      </c>
      <c r="S28" s="122">
        <f t="shared" si="5"/>
        <v>6.879999999999999</v>
      </c>
      <c r="T28" s="21">
        <v>3</v>
      </c>
      <c r="U28" s="22">
        <v>31.45</v>
      </c>
      <c r="W28" s="128">
        <f t="shared" si="6"/>
        <v>0</v>
      </c>
      <c r="X28" s="151">
        <f t="shared" si="7"/>
        <v>3.620000000000001</v>
      </c>
      <c r="Y28" s="21">
        <v>0</v>
      </c>
      <c r="Z28" s="22">
        <v>35.07</v>
      </c>
      <c r="AA28" s="141"/>
      <c r="AB28" s="128">
        <f t="shared" si="8"/>
        <v>0</v>
      </c>
      <c r="AC28" s="151">
        <f t="shared" si="9"/>
        <v>1.5700000000000003</v>
      </c>
      <c r="AD28" s="21">
        <v>0</v>
      </c>
      <c r="AE28" s="134">
        <v>36.64</v>
      </c>
      <c r="AF28" s="144"/>
      <c r="AG28" s="137">
        <f t="shared" si="10"/>
        <v>0</v>
      </c>
      <c r="AH28" s="150">
        <f t="shared" si="11"/>
        <v>1.0899999999999963</v>
      </c>
      <c r="AI28" s="147">
        <v>0</v>
      </c>
      <c r="AJ28" s="134">
        <v>37.73</v>
      </c>
      <c r="AK28" s="144"/>
      <c r="AL28" s="137">
        <f t="shared" si="12"/>
        <v>12</v>
      </c>
      <c r="AM28" s="150">
        <f t="shared" si="13"/>
        <v>3.3800000000000026</v>
      </c>
      <c r="AN28" s="155">
        <v>12</v>
      </c>
      <c r="AO28" s="159">
        <v>41.11</v>
      </c>
      <c r="AP28" s="141"/>
      <c r="AQ28" s="137">
        <f t="shared" si="14"/>
        <v>22</v>
      </c>
      <c r="AR28" s="150">
        <f t="shared" si="15"/>
        <v>6.170000000000002</v>
      </c>
      <c r="AS28" s="190">
        <v>34</v>
      </c>
      <c r="AT28" s="191">
        <v>47.28</v>
      </c>
      <c r="AU28" s="214"/>
      <c r="AV28" s="137">
        <f t="shared" si="36"/>
        <v>25</v>
      </c>
      <c r="AW28" s="217">
        <f t="shared" si="17"/>
        <v>2.719999999999999</v>
      </c>
      <c r="AX28" s="219">
        <v>51</v>
      </c>
      <c r="AY28" s="190">
        <v>8</v>
      </c>
      <c r="AZ28" s="191">
        <v>50</v>
      </c>
      <c r="BA28" s="214"/>
      <c r="BB28" s="137">
        <f t="shared" si="18"/>
        <v>19</v>
      </c>
      <c r="BC28" s="217">
        <f t="shared" si="19"/>
        <v>4.439999999999998</v>
      </c>
      <c r="BD28" s="190">
        <v>27</v>
      </c>
      <c r="BE28" s="191">
        <v>54.44</v>
      </c>
      <c r="BF28" s="234">
        <v>54.19</v>
      </c>
      <c r="BG28" s="234"/>
      <c r="BH28" s="137">
        <f t="shared" si="20"/>
        <v>24</v>
      </c>
      <c r="BI28" s="217">
        <f t="shared" si="21"/>
        <v>10.031000000000006</v>
      </c>
      <c r="BJ28" s="219">
        <v>55.24</v>
      </c>
      <c r="BK28" s="190">
        <v>51</v>
      </c>
      <c r="BL28" s="191">
        <v>9.231</v>
      </c>
      <c r="BM28" s="234"/>
      <c r="BN28" s="246">
        <v>74</v>
      </c>
      <c r="BO28" s="246">
        <v>79</v>
      </c>
      <c r="BP28" s="247">
        <v>44302</v>
      </c>
      <c r="BQ28" s="247">
        <v>44361</v>
      </c>
      <c r="BR28" s="2">
        <f t="shared" si="37"/>
        <v>58</v>
      </c>
      <c r="BS28" s="2">
        <f t="shared" si="38"/>
        <v>45</v>
      </c>
      <c r="BT28" s="241">
        <v>44347</v>
      </c>
      <c r="BU28" s="187">
        <f t="shared" si="39"/>
        <v>77.87931034482759</v>
      </c>
      <c r="BV28" s="137">
        <f t="shared" si="23"/>
        <v>27</v>
      </c>
      <c r="BW28" s="217">
        <f t="shared" si="24"/>
        <v>11.206999999999999</v>
      </c>
      <c r="BX28" s="220">
        <v>78</v>
      </c>
      <c r="BY28" s="191">
        <v>20.438</v>
      </c>
      <c r="BZ28" s="214"/>
      <c r="CA28" s="137">
        <f t="shared" si="27"/>
        <v>3</v>
      </c>
      <c r="CB28" s="217">
        <f t="shared" si="28"/>
        <v>10.226000000000003</v>
      </c>
      <c r="CC28" s="220">
        <v>81</v>
      </c>
      <c r="CD28" s="191">
        <v>30.664</v>
      </c>
      <c r="CE28" s="214"/>
      <c r="CF28" s="137">
        <v>1</v>
      </c>
      <c r="CG28" s="217">
        <f t="shared" si="29"/>
        <v>10.869999999999997</v>
      </c>
      <c r="CH28" s="220"/>
      <c r="CI28" s="191">
        <v>41.534</v>
      </c>
      <c r="CJ28" s="254"/>
      <c r="CK28" s="261">
        <v>24</v>
      </c>
      <c r="CL28" s="274">
        <f t="shared" si="30"/>
        <v>18.25</v>
      </c>
      <c r="CM28" s="188">
        <f t="shared" si="31"/>
        <v>0.0547945205479452</v>
      </c>
      <c r="CN28" s="275">
        <f t="shared" si="32"/>
        <v>8.976000000000003</v>
      </c>
      <c r="CO28" s="188">
        <f t="shared" si="33"/>
        <v>1.2110071301247765</v>
      </c>
    </row>
    <row r="29" spans="1:93" ht="12.75">
      <c r="A29" s="24">
        <v>25</v>
      </c>
      <c r="B29" s="20"/>
      <c r="C29" s="21">
        <v>3</v>
      </c>
      <c r="E29" s="128">
        <f t="shared" si="0"/>
        <v>4</v>
      </c>
      <c r="F29" s="21">
        <v>7</v>
      </c>
      <c r="G29" s="22">
        <v>13.25</v>
      </c>
      <c r="H29" s="23"/>
      <c r="I29" s="128">
        <f t="shared" si="1"/>
        <v>8</v>
      </c>
      <c r="J29" s="125">
        <f t="shared" si="2"/>
        <v>5.75</v>
      </c>
      <c r="K29" s="21">
        <v>15</v>
      </c>
      <c r="L29" s="22">
        <v>19</v>
      </c>
      <c r="N29" s="128">
        <f t="shared" si="3"/>
        <v>5</v>
      </c>
      <c r="O29" s="21">
        <v>20</v>
      </c>
      <c r="P29" s="22">
        <v>19</v>
      </c>
      <c r="R29" s="128">
        <f t="shared" si="4"/>
        <v>7</v>
      </c>
      <c r="S29" s="122">
        <f t="shared" si="5"/>
        <v>5.43</v>
      </c>
      <c r="T29" s="21">
        <v>27</v>
      </c>
      <c r="U29" s="22">
        <v>24.43</v>
      </c>
      <c r="W29" s="128">
        <f t="shared" si="6"/>
        <v>13</v>
      </c>
      <c r="X29" s="151">
        <f t="shared" si="7"/>
        <v>5.75</v>
      </c>
      <c r="Y29" s="21">
        <v>13</v>
      </c>
      <c r="Z29" s="22">
        <v>30.18</v>
      </c>
      <c r="AA29" s="141"/>
      <c r="AB29" s="128">
        <f t="shared" si="8"/>
        <v>15</v>
      </c>
      <c r="AC29" s="151">
        <f t="shared" si="9"/>
        <v>5.100000000000001</v>
      </c>
      <c r="AD29" s="21">
        <v>28</v>
      </c>
      <c r="AE29" s="134">
        <v>35.28</v>
      </c>
      <c r="AF29" s="144"/>
      <c r="AG29" s="137">
        <f t="shared" si="10"/>
        <v>15</v>
      </c>
      <c r="AH29" s="150">
        <f t="shared" si="11"/>
        <v>7.530000000000001</v>
      </c>
      <c r="AI29" s="147">
        <v>43</v>
      </c>
      <c r="AJ29" s="134">
        <v>42.81</v>
      </c>
      <c r="AK29" s="144"/>
      <c r="AL29" s="137">
        <f t="shared" si="12"/>
        <v>14</v>
      </c>
      <c r="AM29" s="150">
        <f t="shared" si="13"/>
        <v>6.909999999999997</v>
      </c>
      <c r="AN29" s="155">
        <v>57</v>
      </c>
      <c r="AO29" s="159">
        <v>49.72</v>
      </c>
      <c r="AP29" s="141"/>
      <c r="AQ29" s="137">
        <f t="shared" si="14"/>
        <v>15</v>
      </c>
      <c r="AR29" s="150">
        <f t="shared" si="15"/>
        <v>7.590000000000003</v>
      </c>
      <c r="AS29" s="190">
        <v>72</v>
      </c>
      <c r="AT29" s="191">
        <v>57.31</v>
      </c>
      <c r="AU29" s="214"/>
      <c r="AV29" s="137">
        <f t="shared" si="36"/>
        <v>12</v>
      </c>
      <c r="AW29" s="217">
        <f t="shared" si="17"/>
        <v>5.019999999999996</v>
      </c>
      <c r="AX29" s="219">
        <v>80</v>
      </c>
      <c r="AY29" s="190">
        <v>4</v>
      </c>
      <c r="AZ29" s="191">
        <v>62.33</v>
      </c>
      <c r="BA29" s="214"/>
      <c r="BB29" s="137">
        <f t="shared" si="18"/>
        <v>15</v>
      </c>
      <c r="BC29" s="217">
        <f t="shared" si="19"/>
        <v>4.900000000000006</v>
      </c>
      <c r="BD29" s="190">
        <v>19</v>
      </c>
      <c r="BE29" s="191">
        <v>67.23</v>
      </c>
      <c r="BF29" s="234">
        <v>67.2</v>
      </c>
      <c r="BG29" s="234"/>
      <c r="BH29" s="137">
        <f t="shared" si="20"/>
        <v>14</v>
      </c>
      <c r="BI29" s="217">
        <f t="shared" si="21"/>
        <v>4.452999999999989</v>
      </c>
      <c r="BJ29" s="219">
        <v>67.49</v>
      </c>
      <c r="BK29" s="190">
        <v>33</v>
      </c>
      <c r="BL29" s="191">
        <v>4.193</v>
      </c>
      <c r="BM29" s="234"/>
      <c r="BN29" s="246">
        <v>49</v>
      </c>
      <c r="BO29" s="246">
        <v>52</v>
      </c>
      <c r="BP29" s="247">
        <v>44302</v>
      </c>
      <c r="BQ29" s="247">
        <v>44361</v>
      </c>
      <c r="BR29" s="2">
        <f t="shared" si="37"/>
        <v>58</v>
      </c>
      <c r="BS29" s="2">
        <f t="shared" si="38"/>
        <v>45</v>
      </c>
      <c r="BT29" s="241">
        <v>44347</v>
      </c>
      <c r="BU29" s="187">
        <f t="shared" si="39"/>
        <v>51.327586206896555</v>
      </c>
      <c r="BV29" s="137">
        <f t="shared" si="23"/>
        <v>18</v>
      </c>
      <c r="BW29" s="217">
        <f t="shared" si="24"/>
        <v>6.6129999999999995</v>
      </c>
      <c r="BX29" s="220">
        <v>51</v>
      </c>
      <c r="BY29" s="191">
        <v>10.806</v>
      </c>
      <c r="BZ29" s="214"/>
      <c r="CA29" s="137">
        <f t="shared" si="27"/>
        <v>15</v>
      </c>
      <c r="CB29" s="217">
        <f t="shared" si="28"/>
        <v>4.783000000000001</v>
      </c>
      <c r="CC29" s="220">
        <v>66</v>
      </c>
      <c r="CD29" s="191">
        <v>15.589</v>
      </c>
      <c r="CE29" s="214"/>
      <c r="CF29" s="137">
        <v>14</v>
      </c>
      <c r="CG29" s="217">
        <f t="shared" si="29"/>
        <v>4.804999999999998</v>
      </c>
      <c r="CH29" s="220"/>
      <c r="CI29" s="191">
        <v>20.394</v>
      </c>
      <c r="CJ29" s="254"/>
      <c r="CK29" s="261">
        <v>25</v>
      </c>
      <c r="CL29" s="274">
        <f t="shared" si="30"/>
        <v>15.5</v>
      </c>
      <c r="CM29" s="188">
        <f t="shared" si="31"/>
        <v>0.9032258064516129</v>
      </c>
      <c r="CN29" s="275">
        <f t="shared" si="32"/>
        <v>5.187249999999999</v>
      </c>
      <c r="CO29" s="188">
        <f t="shared" si="33"/>
        <v>0.9263097016723696</v>
      </c>
    </row>
    <row r="30" spans="1:93" ht="12.75">
      <c r="A30" s="24">
        <v>26</v>
      </c>
      <c r="B30" s="20"/>
      <c r="C30" s="21">
        <v>6</v>
      </c>
      <c r="E30" s="128">
        <f t="shared" si="0"/>
        <v>7</v>
      </c>
      <c r="F30" s="21">
        <v>13</v>
      </c>
      <c r="G30" s="22">
        <v>13.33</v>
      </c>
      <c r="H30" s="23"/>
      <c r="I30" s="128">
        <f t="shared" si="1"/>
        <v>14</v>
      </c>
      <c r="J30" s="125">
        <f t="shared" si="2"/>
        <v>3.200000000000001</v>
      </c>
      <c r="K30" s="21">
        <v>27</v>
      </c>
      <c r="L30" s="22">
        <v>16.53</v>
      </c>
      <c r="N30" s="128">
        <f t="shared" si="3"/>
        <v>11</v>
      </c>
      <c r="O30" s="21">
        <v>38</v>
      </c>
      <c r="P30" s="22">
        <v>16.53</v>
      </c>
      <c r="R30" s="128">
        <f t="shared" si="4"/>
        <v>15</v>
      </c>
      <c r="S30" s="122">
        <f t="shared" si="5"/>
        <v>2.41</v>
      </c>
      <c r="T30" s="21">
        <v>53</v>
      </c>
      <c r="U30" s="22">
        <v>18.94</v>
      </c>
      <c r="W30" s="128">
        <f t="shared" si="6"/>
        <v>26</v>
      </c>
      <c r="X30" s="151">
        <f t="shared" si="7"/>
        <v>2.7399999999999984</v>
      </c>
      <c r="Y30" s="21">
        <v>26</v>
      </c>
      <c r="Z30" s="22">
        <v>21.68</v>
      </c>
      <c r="AA30" s="141"/>
      <c r="AB30" s="128">
        <f t="shared" si="8"/>
        <v>23</v>
      </c>
      <c r="AC30" s="151">
        <f t="shared" si="9"/>
        <v>2.6499999999999986</v>
      </c>
      <c r="AD30" s="21">
        <v>49</v>
      </c>
      <c r="AE30" s="134">
        <v>24.33</v>
      </c>
      <c r="AF30" s="144"/>
      <c r="AG30" s="137">
        <f t="shared" si="10"/>
        <v>26</v>
      </c>
      <c r="AH30" s="150">
        <f t="shared" si="11"/>
        <v>3.5</v>
      </c>
      <c r="AI30" s="147">
        <v>75</v>
      </c>
      <c r="AJ30" s="134">
        <v>27.83</v>
      </c>
      <c r="AK30" s="144"/>
      <c r="AL30" s="137">
        <f t="shared" si="12"/>
        <v>13</v>
      </c>
      <c r="AM30" s="150">
        <f t="shared" si="13"/>
        <v>6.410000000000004</v>
      </c>
      <c r="AN30" s="155">
        <v>88</v>
      </c>
      <c r="AO30" s="159">
        <v>34.24</v>
      </c>
      <c r="AP30" s="141"/>
      <c r="AQ30" s="137">
        <f t="shared" si="14"/>
        <v>19</v>
      </c>
      <c r="AR30" s="150">
        <f t="shared" si="15"/>
        <v>3.8699999999999974</v>
      </c>
      <c r="AS30" s="190">
        <v>107</v>
      </c>
      <c r="AT30" s="191">
        <v>38.11</v>
      </c>
      <c r="AU30" s="214"/>
      <c r="AV30" s="137">
        <f t="shared" si="36"/>
        <v>36</v>
      </c>
      <c r="AW30" s="217">
        <f t="shared" si="17"/>
        <v>6.609999999999999</v>
      </c>
      <c r="AX30" s="219">
        <v>133</v>
      </c>
      <c r="AY30" s="190">
        <v>10</v>
      </c>
      <c r="AZ30" s="191">
        <v>44.72</v>
      </c>
      <c r="BA30" s="214"/>
      <c r="BB30" s="137">
        <f t="shared" si="18"/>
        <v>34</v>
      </c>
      <c r="BC30" s="217">
        <f t="shared" si="19"/>
        <v>4.039999999999999</v>
      </c>
      <c r="BD30" s="190">
        <v>44</v>
      </c>
      <c r="BE30" s="191">
        <v>48.76</v>
      </c>
      <c r="BF30" s="234">
        <v>48.76</v>
      </c>
      <c r="BG30" s="234"/>
      <c r="BH30" s="137">
        <f t="shared" si="20"/>
        <v>38</v>
      </c>
      <c r="BI30" s="217">
        <f t="shared" si="21"/>
        <v>3.6100000000000065</v>
      </c>
      <c r="BJ30" s="219">
        <v>48.81</v>
      </c>
      <c r="BK30" s="190">
        <v>82</v>
      </c>
      <c r="BL30" s="191">
        <v>3.56</v>
      </c>
      <c r="BM30" s="234"/>
      <c r="BN30" s="246">
        <v>116</v>
      </c>
      <c r="BO30" s="246">
        <v>120</v>
      </c>
      <c r="BP30" s="247">
        <v>44302</v>
      </c>
      <c r="BQ30" s="247">
        <v>44361</v>
      </c>
      <c r="BR30" s="2">
        <f t="shared" si="37"/>
        <v>58</v>
      </c>
      <c r="BS30" s="2">
        <f t="shared" si="38"/>
        <v>45</v>
      </c>
      <c r="BT30" s="241">
        <v>44347</v>
      </c>
      <c r="BU30" s="187">
        <f t="shared" si="39"/>
        <v>119.10344827586206</v>
      </c>
      <c r="BV30" s="137">
        <f t="shared" si="23"/>
        <v>37</v>
      </c>
      <c r="BW30" s="217">
        <f t="shared" si="24"/>
        <v>4.731</v>
      </c>
      <c r="BX30" s="220">
        <v>119</v>
      </c>
      <c r="BY30" s="191">
        <v>8.291</v>
      </c>
      <c r="BZ30" s="214"/>
      <c r="CA30" s="137">
        <f t="shared" si="27"/>
        <v>36</v>
      </c>
      <c r="CB30" s="217">
        <f t="shared" si="28"/>
        <v>6.645999999999999</v>
      </c>
      <c r="CC30" s="220">
        <v>155</v>
      </c>
      <c r="CD30" s="191">
        <v>14.937</v>
      </c>
      <c r="CE30" s="214"/>
      <c r="CF30" s="137">
        <v>29</v>
      </c>
      <c r="CG30" s="217">
        <f t="shared" si="29"/>
        <v>3.206999999999999</v>
      </c>
      <c r="CH30" s="220"/>
      <c r="CI30" s="191">
        <v>18.144</v>
      </c>
      <c r="CJ30" s="254"/>
      <c r="CK30" s="261">
        <v>26</v>
      </c>
      <c r="CL30" s="274">
        <f t="shared" si="30"/>
        <v>36.25</v>
      </c>
      <c r="CM30" s="188">
        <f t="shared" si="31"/>
        <v>0.8</v>
      </c>
      <c r="CN30" s="275">
        <f t="shared" si="32"/>
        <v>4.756750000000001</v>
      </c>
      <c r="CO30" s="188">
        <f t="shared" si="33"/>
        <v>0.674199821306564</v>
      </c>
    </row>
    <row r="31" spans="1:93" ht="12.75">
      <c r="A31" s="24">
        <v>27</v>
      </c>
      <c r="B31" s="20"/>
      <c r="C31" s="21">
        <v>22</v>
      </c>
      <c r="E31" s="128">
        <f t="shared" si="0"/>
        <v>8</v>
      </c>
      <c r="F31" s="21">
        <v>30</v>
      </c>
      <c r="G31" s="22">
        <v>23.04</v>
      </c>
      <c r="H31" s="23"/>
      <c r="I31" s="128">
        <f t="shared" si="1"/>
        <v>13</v>
      </c>
      <c r="J31" s="125">
        <f t="shared" si="2"/>
        <v>11.829999999999998</v>
      </c>
      <c r="K31" s="21">
        <v>43</v>
      </c>
      <c r="L31" s="22">
        <v>34.87</v>
      </c>
      <c r="N31" s="128">
        <f t="shared" si="3"/>
        <v>8</v>
      </c>
      <c r="O31" s="21">
        <v>51</v>
      </c>
      <c r="P31" s="22">
        <v>34.87</v>
      </c>
      <c r="R31" s="128">
        <f t="shared" si="4"/>
        <v>14</v>
      </c>
      <c r="S31" s="122">
        <f t="shared" si="5"/>
        <v>12.96</v>
      </c>
      <c r="T31" s="21">
        <v>65</v>
      </c>
      <c r="U31" s="22">
        <v>47.83</v>
      </c>
      <c r="W31" s="128">
        <f t="shared" si="6"/>
        <v>27</v>
      </c>
      <c r="X31" s="151">
        <f t="shared" si="7"/>
        <v>15.550000000000004</v>
      </c>
      <c r="Y31" s="21">
        <v>27</v>
      </c>
      <c r="Z31" s="22">
        <v>63.38</v>
      </c>
      <c r="AA31" s="141"/>
      <c r="AB31" s="128">
        <f t="shared" si="8"/>
        <v>16</v>
      </c>
      <c r="AC31" s="151">
        <f t="shared" si="9"/>
        <v>13.579999999999991</v>
      </c>
      <c r="AD31" s="21">
        <v>43</v>
      </c>
      <c r="AE31" s="134">
        <v>76.96</v>
      </c>
      <c r="AF31" s="144"/>
      <c r="AG31" s="137">
        <f t="shared" si="10"/>
        <v>34</v>
      </c>
      <c r="AH31" s="150">
        <f t="shared" si="11"/>
        <v>12.470000000000013</v>
      </c>
      <c r="AI31" s="147">
        <v>77</v>
      </c>
      <c r="AJ31" s="134">
        <v>89.43</v>
      </c>
      <c r="AK31" s="144"/>
      <c r="AL31" s="137">
        <f t="shared" si="12"/>
        <v>37</v>
      </c>
      <c r="AM31" s="150">
        <f t="shared" si="13"/>
        <v>12.709999999999994</v>
      </c>
      <c r="AN31" s="155">
        <v>114</v>
      </c>
      <c r="AO31" s="159">
        <v>102.14</v>
      </c>
      <c r="AP31" s="141"/>
      <c r="AQ31" s="137">
        <f t="shared" si="14"/>
        <v>38</v>
      </c>
      <c r="AR31" s="150">
        <f t="shared" si="15"/>
        <v>15.719999999999999</v>
      </c>
      <c r="AS31" s="190">
        <v>152</v>
      </c>
      <c r="AT31" s="191">
        <v>117.86</v>
      </c>
      <c r="AU31" s="214"/>
      <c r="AV31" s="137">
        <f t="shared" si="36"/>
        <v>32</v>
      </c>
      <c r="AW31" s="217">
        <f t="shared" si="17"/>
        <v>14.470000000000013</v>
      </c>
      <c r="AX31" s="219">
        <v>178</v>
      </c>
      <c r="AY31" s="190">
        <v>6</v>
      </c>
      <c r="AZ31" s="191">
        <v>132.33</v>
      </c>
      <c r="BA31" s="214"/>
      <c r="BB31" s="137">
        <f t="shared" si="18"/>
        <v>36</v>
      </c>
      <c r="BC31" s="217">
        <f t="shared" si="19"/>
        <v>20.22</v>
      </c>
      <c r="BD31" s="190">
        <v>42</v>
      </c>
      <c r="BE31" s="191">
        <v>152.55</v>
      </c>
      <c r="BF31" s="234">
        <v>152.6</v>
      </c>
      <c r="BG31" s="234"/>
      <c r="BH31" s="137">
        <f t="shared" si="20"/>
        <v>29</v>
      </c>
      <c r="BI31" s="217">
        <f t="shared" si="21"/>
        <v>23.25199999999998</v>
      </c>
      <c r="BJ31" s="219">
        <v>155.12</v>
      </c>
      <c r="BK31" s="190">
        <v>71</v>
      </c>
      <c r="BL31" s="191">
        <v>20.682</v>
      </c>
      <c r="BM31" s="234"/>
      <c r="BN31" s="246">
        <v>95</v>
      </c>
      <c r="BO31" s="246">
        <v>99</v>
      </c>
      <c r="BP31" s="247">
        <v>44302</v>
      </c>
      <c r="BQ31" s="247">
        <v>44361</v>
      </c>
      <c r="BR31" s="2">
        <f t="shared" si="37"/>
        <v>58</v>
      </c>
      <c r="BS31" s="2">
        <f t="shared" si="38"/>
        <v>45</v>
      </c>
      <c r="BT31" s="241">
        <v>44347</v>
      </c>
      <c r="BU31" s="187">
        <f t="shared" si="39"/>
        <v>98.10344827586206</v>
      </c>
      <c r="BV31" s="137">
        <f t="shared" si="23"/>
        <v>27</v>
      </c>
      <c r="BW31" s="217">
        <f t="shared" si="24"/>
        <v>21.355999999999998</v>
      </c>
      <c r="BX31" s="220">
        <v>98</v>
      </c>
      <c r="BY31" s="191">
        <v>42.038</v>
      </c>
      <c r="BZ31" s="214"/>
      <c r="CA31" s="137">
        <f t="shared" si="27"/>
        <v>27</v>
      </c>
      <c r="CB31" s="217">
        <f t="shared" si="28"/>
        <v>20.753</v>
      </c>
      <c r="CC31" s="220">
        <v>125</v>
      </c>
      <c r="CD31" s="191">
        <v>62.791</v>
      </c>
      <c r="CE31" s="214"/>
      <c r="CF31" s="137">
        <v>26</v>
      </c>
      <c r="CG31" s="217">
        <f t="shared" si="29"/>
        <v>16.397999999999996</v>
      </c>
      <c r="CH31" s="220"/>
      <c r="CI31" s="191">
        <v>79.189</v>
      </c>
      <c r="CJ31" s="254"/>
      <c r="CK31" s="261">
        <v>27</v>
      </c>
      <c r="CL31" s="274">
        <f t="shared" si="30"/>
        <v>29.75</v>
      </c>
      <c r="CM31" s="188">
        <f t="shared" si="31"/>
        <v>0.8739495798319328</v>
      </c>
      <c r="CN31" s="275">
        <f t="shared" si="32"/>
        <v>21.395249999999994</v>
      </c>
      <c r="CO31" s="188">
        <f t="shared" si="33"/>
        <v>0.7664318014512568</v>
      </c>
    </row>
    <row r="32" spans="1:93" ht="12.75">
      <c r="A32" s="24">
        <v>28</v>
      </c>
      <c r="B32" s="20"/>
      <c r="C32" s="21">
        <v>7</v>
      </c>
      <c r="E32" s="128">
        <f t="shared" si="0"/>
        <v>5</v>
      </c>
      <c r="F32" s="21">
        <v>12</v>
      </c>
      <c r="G32" s="22">
        <v>12.9</v>
      </c>
      <c r="H32" s="23"/>
      <c r="I32" s="128">
        <f t="shared" si="1"/>
        <v>12</v>
      </c>
      <c r="J32" s="125">
        <f t="shared" si="2"/>
        <v>11.319999999999999</v>
      </c>
      <c r="K32" s="21">
        <v>24</v>
      </c>
      <c r="L32" s="22">
        <v>24.22</v>
      </c>
      <c r="N32" s="128">
        <f t="shared" si="3"/>
        <v>7</v>
      </c>
      <c r="O32" s="21">
        <v>31</v>
      </c>
      <c r="P32" s="22">
        <v>24.22</v>
      </c>
      <c r="R32" s="128">
        <f t="shared" si="4"/>
        <v>18</v>
      </c>
      <c r="S32" s="122">
        <f t="shared" si="5"/>
        <v>10.509999999999998</v>
      </c>
      <c r="T32" s="21">
        <v>49</v>
      </c>
      <c r="U32" s="22">
        <v>34.73</v>
      </c>
      <c r="W32" s="128">
        <f t="shared" si="6"/>
        <v>17</v>
      </c>
      <c r="X32" s="151">
        <f t="shared" si="7"/>
        <v>13.14</v>
      </c>
      <c r="Y32" s="21">
        <v>17</v>
      </c>
      <c r="Z32" s="22">
        <v>47.87</v>
      </c>
      <c r="AA32" s="141"/>
      <c r="AB32" s="128">
        <f t="shared" si="8"/>
        <v>16</v>
      </c>
      <c r="AC32" s="151">
        <f t="shared" si="9"/>
        <v>12.29</v>
      </c>
      <c r="AD32" s="21">
        <v>33</v>
      </c>
      <c r="AE32" s="134">
        <v>60.16</v>
      </c>
      <c r="AF32" s="144"/>
      <c r="AG32" s="137">
        <f t="shared" si="10"/>
        <v>14</v>
      </c>
      <c r="AH32" s="150">
        <f t="shared" si="11"/>
        <v>9.659999999999997</v>
      </c>
      <c r="AI32" s="147">
        <v>47</v>
      </c>
      <c r="AJ32" s="134">
        <v>69.82</v>
      </c>
      <c r="AK32" s="144"/>
      <c r="AL32" s="137">
        <f t="shared" si="12"/>
        <v>13</v>
      </c>
      <c r="AM32" s="150">
        <f t="shared" si="13"/>
        <v>9.91000000000001</v>
      </c>
      <c r="AN32" s="155">
        <f>44+16</f>
        <v>60</v>
      </c>
      <c r="AO32" s="159">
        <v>79.73</v>
      </c>
      <c r="AP32" s="141"/>
      <c r="AQ32" s="137">
        <f t="shared" si="14"/>
        <v>13</v>
      </c>
      <c r="AR32" s="150">
        <f t="shared" si="15"/>
        <v>12.849999999999994</v>
      </c>
      <c r="AS32" s="190">
        <v>73</v>
      </c>
      <c r="AT32" s="191">
        <v>92.58</v>
      </c>
      <c r="AU32" s="214"/>
      <c r="AV32" s="137">
        <f t="shared" si="36"/>
        <v>10</v>
      </c>
      <c r="AW32" s="217">
        <f t="shared" si="17"/>
        <v>6.570000000000007</v>
      </c>
      <c r="AX32" s="219">
        <v>81</v>
      </c>
      <c r="AY32" s="190">
        <v>2</v>
      </c>
      <c r="AZ32" s="191">
        <v>99.15</v>
      </c>
      <c r="BA32" s="214"/>
      <c r="BB32" s="137">
        <f t="shared" si="18"/>
        <v>22</v>
      </c>
      <c r="BC32" s="217">
        <f t="shared" si="19"/>
        <v>5.699999999999989</v>
      </c>
      <c r="BD32" s="190">
        <v>24</v>
      </c>
      <c r="BE32" s="191">
        <v>104.85</v>
      </c>
      <c r="BF32" s="234">
        <v>104.71</v>
      </c>
      <c r="BG32" s="234"/>
      <c r="BH32" s="137">
        <f t="shared" si="20"/>
        <v>23</v>
      </c>
      <c r="BI32" s="217">
        <f t="shared" si="21"/>
        <v>8.816000000000003</v>
      </c>
      <c r="BJ32" s="219">
        <v>105.45</v>
      </c>
      <c r="BK32" s="190">
        <v>47</v>
      </c>
      <c r="BL32" s="191">
        <v>8.216</v>
      </c>
      <c r="BM32" s="234"/>
      <c r="BN32" s="246">
        <v>57</v>
      </c>
      <c r="BO32" s="246">
        <v>59</v>
      </c>
      <c r="BP32" s="247">
        <v>44302</v>
      </c>
      <c r="BQ32" s="247">
        <v>44361</v>
      </c>
      <c r="BR32" s="2">
        <f t="shared" si="37"/>
        <v>58</v>
      </c>
      <c r="BS32" s="2">
        <f t="shared" si="38"/>
        <v>45</v>
      </c>
      <c r="BT32" s="241">
        <v>44347</v>
      </c>
      <c r="BU32" s="187">
        <f t="shared" si="39"/>
        <v>58.55172413793103</v>
      </c>
      <c r="BV32" s="137">
        <f t="shared" si="23"/>
        <v>12</v>
      </c>
      <c r="BW32" s="217">
        <f t="shared" si="24"/>
        <v>5.032</v>
      </c>
      <c r="BX32" s="220">
        <v>59</v>
      </c>
      <c r="BY32" s="191">
        <v>13.248</v>
      </c>
      <c r="BZ32" s="214"/>
      <c r="CA32" s="137">
        <f t="shared" si="27"/>
        <v>7</v>
      </c>
      <c r="CB32" s="217">
        <f t="shared" si="28"/>
        <v>6.664</v>
      </c>
      <c r="CC32" s="220">
        <v>66</v>
      </c>
      <c r="CD32" s="191">
        <v>19.912</v>
      </c>
      <c r="CE32" s="214"/>
      <c r="CF32" s="137">
        <v>23</v>
      </c>
      <c r="CG32" s="217">
        <f t="shared" si="29"/>
        <v>5.082000000000001</v>
      </c>
      <c r="CH32" s="220"/>
      <c r="CI32" s="191">
        <v>24.994</v>
      </c>
      <c r="CJ32" s="254"/>
      <c r="CK32" s="261">
        <v>28</v>
      </c>
      <c r="CL32" s="274">
        <f t="shared" si="30"/>
        <v>16</v>
      </c>
      <c r="CM32" s="188">
        <f t="shared" si="31"/>
        <v>1.4375</v>
      </c>
      <c r="CN32" s="275">
        <f t="shared" si="32"/>
        <v>6.552999999999997</v>
      </c>
      <c r="CO32" s="188">
        <f t="shared" si="33"/>
        <v>0.7755226613764692</v>
      </c>
    </row>
    <row r="33" spans="1:93" ht="12.75">
      <c r="A33" s="24">
        <v>29</v>
      </c>
      <c r="B33" s="20"/>
      <c r="C33" s="21">
        <v>9</v>
      </c>
      <c r="E33" s="128">
        <f t="shared" si="0"/>
        <v>10</v>
      </c>
      <c r="F33" s="21">
        <v>19</v>
      </c>
      <c r="G33" s="22">
        <v>13.07</v>
      </c>
      <c r="H33" s="23"/>
      <c r="I33" s="128">
        <f t="shared" si="1"/>
        <v>16</v>
      </c>
      <c r="J33" s="125">
        <f t="shared" si="2"/>
        <v>7.640000000000001</v>
      </c>
      <c r="K33" s="21">
        <v>35</v>
      </c>
      <c r="L33" s="22">
        <v>20.71</v>
      </c>
      <c r="N33" s="128">
        <f t="shared" si="3"/>
        <v>12</v>
      </c>
      <c r="O33" s="21">
        <v>47</v>
      </c>
      <c r="P33" s="22">
        <v>20.71</v>
      </c>
      <c r="R33" s="128">
        <f t="shared" si="4"/>
        <v>16</v>
      </c>
      <c r="S33" s="122">
        <f t="shared" si="5"/>
        <v>6.75</v>
      </c>
      <c r="T33" s="21">
        <v>63</v>
      </c>
      <c r="U33" s="22">
        <v>27.46</v>
      </c>
      <c r="W33" s="128">
        <f t="shared" si="6"/>
        <v>29</v>
      </c>
      <c r="X33" s="151">
        <f t="shared" si="7"/>
        <v>7.729999999999997</v>
      </c>
      <c r="Y33" s="21">
        <v>29</v>
      </c>
      <c r="Z33" s="22">
        <v>35.19</v>
      </c>
      <c r="AA33" s="141"/>
      <c r="AB33" s="128">
        <f t="shared" si="8"/>
        <v>34</v>
      </c>
      <c r="AC33" s="151">
        <f t="shared" si="9"/>
        <v>7.82</v>
      </c>
      <c r="AD33" s="21">
        <v>63</v>
      </c>
      <c r="AE33" s="134">
        <v>43.01</v>
      </c>
      <c r="AF33" s="144"/>
      <c r="AG33" s="137">
        <f t="shared" si="10"/>
        <v>36</v>
      </c>
      <c r="AH33" s="150">
        <f t="shared" si="11"/>
        <v>6.109999999999999</v>
      </c>
      <c r="AI33" s="147">
        <v>99</v>
      </c>
      <c r="AJ33" s="134">
        <v>49.12</v>
      </c>
      <c r="AK33" s="144"/>
      <c r="AL33" s="137">
        <f t="shared" si="12"/>
        <v>41</v>
      </c>
      <c r="AM33" s="150">
        <f t="shared" si="13"/>
        <v>7.560000000000002</v>
      </c>
      <c r="AN33" s="155">
        <v>140</v>
      </c>
      <c r="AO33" s="159">
        <v>56.68</v>
      </c>
      <c r="AP33" s="141"/>
      <c r="AQ33" s="137">
        <f t="shared" si="14"/>
        <v>28</v>
      </c>
      <c r="AR33" s="150">
        <f t="shared" si="15"/>
        <v>6.840000000000003</v>
      </c>
      <c r="AS33" s="190">
        <v>168</v>
      </c>
      <c r="AT33" s="191">
        <v>63.52</v>
      </c>
      <c r="AU33" s="214"/>
      <c r="AV33" s="137">
        <f t="shared" si="36"/>
        <v>24</v>
      </c>
      <c r="AW33" s="217">
        <f t="shared" si="17"/>
        <v>5.229999999999997</v>
      </c>
      <c r="AX33" s="219">
        <v>187</v>
      </c>
      <c r="AY33" s="190">
        <v>5</v>
      </c>
      <c r="AZ33" s="191">
        <v>68.75</v>
      </c>
      <c r="BA33" s="214"/>
      <c r="BB33" s="137">
        <f t="shared" si="18"/>
        <v>31</v>
      </c>
      <c r="BC33" s="217">
        <f t="shared" si="19"/>
        <v>2.530000000000001</v>
      </c>
      <c r="BD33" s="190">
        <v>36</v>
      </c>
      <c r="BE33" s="191">
        <v>71.28</v>
      </c>
      <c r="BF33" s="234">
        <v>71.28</v>
      </c>
      <c r="BG33" s="234"/>
      <c r="BH33" s="137">
        <f t="shared" si="20"/>
        <v>30</v>
      </c>
      <c r="BI33" s="217">
        <f t="shared" si="21"/>
        <v>9.563000000000002</v>
      </c>
      <c r="BJ33" s="219">
        <v>71.28</v>
      </c>
      <c r="BK33" s="190">
        <v>66</v>
      </c>
      <c r="BL33" s="191">
        <v>9.563</v>
      </c>
      <c r="BM33" s="234"/>
      <c r="BN33" s="246">
        <v>95</v>
      </c>
      <c r="BO33" s="246">
        <v>101</v>
      </c>
      <c r="BP33" s="247">
        <v>44302</v>
      </c>
      <c r="BQ33" s="247">
        <v>44361</v>
      </c>
      <c r="BR33" s="2">
        <f t="shared" si="37"/>
        <v>58</v>
      </c>
      <c r="BS33" s="2">
        <f t="shared" si="38"/>
        <v>45</v>
      </c>
      <c r="BT33" s="241">
        <v>44347</v>
      </c>
      <c r="BU33" s="187">
        <f t="shared" si="39"/>
        <v>99.65517241379311</v>
      </c>
      <c r="BV33" s="137">
        <f t="shared" si="23"/>
        <v>34</v>
      </c>
      <c r="BW33" s="217">
        <f t="shared" si="24"/>
        <v>10.717999999999998</v>
      </c>
      <c r="BX33" s="220">
        <v>100</v>
      </c>
      <c r="BY33" s="191">
        <v>20.281</v>
      </c>
      <c r="BZ33" s="214"/>
      <c r="CA33" s="137">
        <f t="shared" si="27"/>
        <v>41</v>
      </c>
      <c r="CB33" s="217">
        <f t="shared" si="28"/>
        <v>9.751000000000001</v>
      </c>
      <c r="CC33" s="220">
        <v>141</v>
      </c>
      <c r="CD33" s="191">
        <v>30.032</v>
      </c>
      <c r="CE33" s="214"/>
      <c r="CF33" s="137">
        <v>43</v>
      </c>
      <c r="CG33" s="217">
        <f t="shared" si="29"/>
        <v>9.080000000000002</v>
      </c>
      <c r="CH33" s="220"/>
      <c r="CI33" s="191">
        <v>39.112</v>
      </c>
      <c r="CJ33" s="254"/>
      <c r="CK33" s="261">
        <v>29</v>
      </c>
      <c r="CL33" s="274">
        <f t="shared" si="30"/>
        <v>34</v>
      </c>
      <c r="CM33" s="188">
        <f t="shared" si="31"/>
        <v>1.2647058823529411</v>
      </c>
      <c r="CN33" s="275">
        <f t="shared" si="32"/>
        <v>8.1405</v>
      </c>
      <c r="CO33" s="188">
        <f t="shared" si="33"/>
        <v>1.1154106013144158</v>
      </c>
    </row>
    <row r="34" spans="1:93" ht="12.75">
      <c r="A34" s="24">
        <v>30</v>
      </c>
      <c r="B34" s="20"/>
      <c r="C34" s="21">
        <v>3</v>
      </c>
      <c r="E34" s="128">
        <f t="shared" si="0"/>
        <v>15</v>
      </c>
      <c r="F34" s="21">
        <v>18</v>
      </c>
      <c r="G34" s="22">
        <v>15.24</v>
      </c>
      <c r="H34" s="23"/>
      <c r="I34" s="128">
        <f t="shared" si="1"/>
        <v>13</v>
      </c>
      <c r="J34" s="125">
        <f t="shared" si="2"/>
        <v>22.919999999999995</v>
      </c>
      <c r="K34" s="21">
        <v>31</v>
      </c>
      <c r="L34" s="22">
        <v>38.16</v>
      </c>
      <c r="N34" s="128">
        <f t="shared" si="3"/>
        <v>15</v>
      </c>
      <c r="O34" s="21">
        <v>46</v>
      </c>
      <c r="P34" s="22">
        <v>38.16</v>
      </c>
      <c r="R34" s="128">
        <f t="shared" si="4"/>
        <v>25</v>
      </c>
      <c r="S34" s="122">
        <f t="shared" si="5"/>
        <v>16.090000000000003</v>
      </c>
      <c r="T34" s="21">
        <v>71</v>
      </c>
      <c r="U34" s="22">
        <v>54.25</v>
      </c>
      <c r="W34" s="128">
        <f t="shared" si="6"/>
        <v>37</v>
      </c>
      <c r="X34" s="151">
        <f t="shared" si="7"/>
        <v>19.430000000000007</v>
      </c>
      <c r="Y34" s="21">
        <f>29+8</f>
        <v>37</v>
      </c>
      <c r="Z34" s="22">
        <v>73.68</v>
      </c>
      <c r="AA34" s="141"/>
      <c r="AB34" s="128">
        <f t="shared" si="8"/>
        <v>41</v>
      </c>
      <c r="AC34" s="151">
        <f t="shared" si="9"/>
        <v>30.72999999999999</v>
      </c>
      <c r="AD34" s="21">
        <v>78</v>
      </c>
      <c r="AE34" s="134">
        <v>104.41</v>
      </c>
      <c r="AF34" s="144"/>
      <c r="AG34" s="137">
        <f t="shared" si="10"/>
        <v>27</v>
      </c>
      <c r="AH34" s="150">
        <f t="shared" si="11"/>
        <v>27.140000000000015</v>
      </c>
      <c r="AI34" s="22">
        <f>71+34</f>
        <v>105</v>
      </c>
      <c r="AJ34" s="134">
        <v>131.55</v>
      </c>
      <c r="AK34" s="144"/>
      <c r="AL34" s="137">
        <f t="shared" si="12"/>
        <v>30</v>
      </c>
      <c r="AM34" s="150">
        <f t="shared" si="13"/>
        <v>5.329999999999984</v>
      </c>
      <c r="AN34" s="21">
        <f>88+47</f>
        <v>135</v>
      </c>
      <c r="AO34" s="159">
        <v>136.88</v>
      </c>
      <c r="AP34" s="141"/>
      <c r="AQ34" s="137">
        <f t="shared" si="14"/>
        <v>23</v>
      </c>
      <c r="AR34" s="150">
        <f t="shared" si="15"/>
        <v>23.830000000000013</v>
      </c>
      <c r="AS34" s="193">
        <f>102+56</f>
        <v>158</v>
      </c>
      <c r="AT34" s="191">
        <v>160.71</v>
      </c>
      <c r="AU34" s="214"/>
      <c r="AV34" s="137">
        <f t="shared" si="36"/>
        <v>35</v>
      </c>
      <c r="AW34" s="217">
        <f t="shared" si="17"/>
        <v>19.169999999999987</v>
      </c>
      <c r="AX34" s="219">
        <f>114+62</f>
        <v>176</v>
      </c>
      <c r="AY34" s="218">
        <f>7+10</f>
        <v>17</v>
      </c>
      <c r="AZ34" s="191">
        <v>179.88</v>
      </c>
      <c r="BA34" s="214"/>
      <c r="BB34" s="137">
        <f t="shared" si="18"/>
        <v>33</v>
      </c>
      <c r="BC34" s="217">
        <f t="shared" si="19"/>
        <v>3.0500000000000114</v>
      </c>
      <c r="BD34" s="218">
        <f>31+19</f>
        <v>50</v>
      </c>
      <c r="BE34" s="191">
        <v>182.93</v>
      </c>
      <c r="BF34" s="234">
        <v>182.93</v>
      </c>
      <c r="BG34" s="234"/>
      <c r="BH34" s="137">
        <f t="shared" si="20"/>
        <v>34</v>
      </c>
      <c r="BI34" s="217">
        <f t="shared" si="21"/>
        <v>9.490000000000009</v>
      </c>
      <c r="BJ34" s="219">
        <v>182.93</v>
      </c>
      <c r="BK34" s="218">
        <f>37+47</f>
        <v>84</v>
      </c>
      <c r="BL34" s="191">
        <v>9.49</v>
      </c>
      <c r="BM34" s="234"/>
      <c r="BN34" s="246">
        <f>43+57</f>
        <v>100</v>
      </c>
      <c r="BO34" s="246">
        <f>45+59</f>
        <v>104</v>
      </c>
      <c r="BP34" s="247">
        <v>44302</v>
      </c>
      <c r="BQ34" s="247">
        <v>44361</v>
      </c>
      <c r="BR34" s="2">
        <f t="shared" si="37"/>
        <v>58</v>
      </c>
      <c r="BS34" s="2">
        <f t="shared" si="38"/>
        <v>45</v>
      </c>
      <c r="BT34" s="241">
        <v>44347</v>
      </c>
      <c r="BU34" s="187">
        <f t="shared" si="39"/>
        <v>103.10344827586206</v>
      </c>
      <c r="BV34" s="137">
        <f t="shared" si="23"/>
        <v>19</v>
      </c>
      <c r="BW34" s="217">
        <f t="shared" si="24"/>
        <v>6.67</v>
      </c>
      <c r="BX34" s="220">
        <v>103</v>
      </c>
      <c r="BY34" s="191">
        <v>16.16</v>
      </c>
      <c r="BZ34" s="214"/>
      <c r="CA34" s="137">
        <f t="shared" si="27"/>
        <v>11</v>
      </c>
      <c r="CB34" s="217">
        <f t="shared" si="28"/>
        <v>3.108999999999998</v>
      </c>
      <c r="CC34" s="220">
        <v>114</v>
      </c>
      <c r="CD34" s="191">
        <v>19.269</v>
      </c>
      <c r="CE34" s="214"/>
      <c r="CF34" s="137">
        <v>9</v>
      </c>
      <c r="CG34" s="217">
        <f t="shared" si="29"/>
        <v>2.344000000000001</v>
      </c>
      <c r="CH34" s="220"/>
      <c r="CI34" s="191">
        <v>21.613</v>
      </c>
      <c r="CJ34" s="254"/>
      <c r="CK34" s="261">
        <v>30</v>
      </c>
      <c r="CL34" s="274">
        <f t="shared" si="30"/>
        <v>24.25</v>
      </c>
      <c r="CM34" s="188">
        <f t="shared" si="31"/>
        <v>0.3711340206185567</v>
      </c>
      <c r="CN34" s="275">
        <f t="shared" si="32"/>
        <v>5.579750000000005</v>
      </c>
      <c r="CO34" s="188">
        <f t="shared" si="33"/>
        <v>0.420090505847036</v>
      </c>
    </row>
    <row r="35" spans="1:93" ht="13.5" thickBot="1">
      <c r="A35" s="25">
        <v>31</v>
      </c>
      <c r="B35" s="20"/>
      <c r="C35" s="21">
        <v>38</v>
      </c>
      <c r="E35" s="128">
        <f t="shared" si="0"/>
        <v>30</v>
      </c>
      <c r="F35" s="21">
        <v>68</v>
      </c>
      <c r="G35" s="22">
        <v>18.06</v>
      </c>
      <c r="H35" s="23"/>
      <c r="I35" s="129">
        <f t="shared" si="1"/>
        <v>17</v>
      </c>
      <c r="J35" s="126">
        <f t="shared" si="2"/>
        <v>9.96</v>
      </c>
      <c r="K35" s="21">
        <v>85</v>
      </c>
      <c r="L35" s="22">
        <v>28.02</v>
      </c>
      <c r="N35" s="129">
        <f t="shared" si="3"/>
        <v>2</v>
      </c>
      <c r="O35" s="21">
        <v>87</v>
      </c>
      <c r="P35" s="22">
        <v>28.02</v>
      </c>
      <c r="R35" s="129">
        <f t="shared" si="4"/>
        <v>19</v>
      </c>
      <c r="S35" s="123">
        <f t="shared" si="5"/>
        <v>12.870000000000001</v>
      </c>
      <c r="T35" s="21">
        <v>106</v>
      </c>
      <c r="U35" s="22">
        <v>40.89</v>
      </c>
      <c r="W35" s="128">
        <f t="shared" si="6"/>
        <v>56</v>
      </c>
      <c r="X35" s="152">
        <f t="shared" si="7"/>
        <v>10.350000000000001</v>
      </c>
      <c r="Y35" s="21">
        <v>56</v>
      </c>
      <c r="Z35" s="22">
        <v>51.24</v>
      </c>
      <c r="AA35" s="141"/>
      <c r="AB35" s="128">
        <f t="shared" si="8"/>
        <v>70</v>
      </c>
      <c r="AC35" s="151">
        <f t="shared" si="9"/>
        <v>9.269999999999996</v>
      </c>
      <c r="AD35" s="21">
        <v>126</v>
      </c>
      <c r="AE35" s="134">
        <v>60.51</v>
      </c>
      <c r="AF35" s="144"/>
      <c r="AG35" s="137">
        <f t="shared" si="10"/>
        <v>33</v>
      </c>
      <c r="AH35" s="150">
        <f t="shared" si="11"/>
        <v>16.559999999999995</v>
      </c>
      <c r="AI35" s="22">
        <v>159</v>
      </c>
      <c r="AJ35" s="134">
        <v>77.07</v>
      </c>
      <c r="AK35" s="144"/>
      <c r="AL35" s="137">
        <f t="shared" si="12"/>
        <v>27</v>
      </c>
      <c r="AM35" s="150">
        <f t="shared" si="13"/>
        <v>18.370000000000005</v>
      </c>
      <c r="AN35" s="21">
        <v>186</v>
      </c>
      <c r="AO35" s="159">
        <v>95.44</v>
      </c>
      <c r="AP35" s="141"/>
      <c r="AQ35" s="137">
        <f t="shared" si="14"/>
        <v>63</v>
      </c>
      <c r="AR35" s="150">
        <f t="shared" si="15"/>
        <v>17.03</v>
      </c>
      <c r="AS35" s="193">
        <v>249</v>
      </c>
      <c r="AT35" s="191">
        <v>112.47</v>
      </c>
      <c r="AU35" s="214"/>
      <c r="AV35" s="137">
        <f t="shared" si="36"/>
        <v>29</v>
      </c>
      <c r="AW35" s="217">
        <f t="shared" si="17"/>
        <v>13</v>
      </c>
      <c r="AX35" s="219">
        <v>268</v>
      </c>
      <c r="AY35" s="218">
        <v>10</v>
      </c>
      <c r="AZ35" s="191">
        <v>125.47</v>
      </c>
      <c r="BA35" s="214"/>
      <c r="BB35" s="137">
        <f t="shared" si="18"/>
        <v>19</v>
      </c>
      <c r="BC35" s="217">
        <f t="shared" si="19"/>
        <v>11.27000000000001</v>
      </c>
      <c r="BD35" s="218">
        <v>29</v>
      </c>
      <c r="BE35" s="191">
        <v>136.74</v>
      </c>
      <c r="BF35" s="234">
        <v>136.61</v>
      </c>
      <c r="BG35" s="234"/>
      <c r="BH35" s="137">
        <f t="shared" si="20"/>
        <v>6</v>
      </c>
      <c r="BI35" s="217">
        <f t="shared" si="21"/>
        <v>15.634999999999991</v>
      </c>
      <c r="BJ35" s="219">
        <v>137.09</v>
      </c>
      <c r="BK35" s="218">
        <v>35</v>
      </c>
      <c r="BL35" s="191">
        <v>15.285</v>
      </c>
      <c r="BM35" s="234"/>
      <c r="BN35" s="246">
        <v>52</v>
      </c>
      <c r="BO35" s="246">
        <v>56</v>
      </c>
      <c r="BP35" s="247">
        <v>44302</v>
      </c>
      <c r="BQ35" s="247">
        <v>44361</v>
      </c>
      <c r="BR35" s="2">
        <f t="shared" si="37"/>
        <v>58</v>
      </c>
      <c r="BS35" s="2">
        <f t="shared" si="38"/>
        <v>45</v>
      </c>
      <c r="BT35" s="241">
        <v>44347</v>
      </c>
      <c r="BU35" s="187">
        <f t="shared" si="39"/>
        <v>55.10344827586207</v>
      </c>
      <c r="BV35" s="137">
        <f t="shared" si="23"/>
        <v>20</v>
      </c>
      <c r="BW35" s="217">
        <f t="shared" si="24"/>
        <v>12.221</v>
      </c>
      <c r="BX35" s="220">
        <v>55</v>
      </c>
      <c r="BY35" s="191">
        <v>27.506</v>
      </c>
      <c r="BZ35" s="214"/>
      <c r="CA35" s="137">
        <f t="shared" si="27"/>
        <v>26</v>
      </c>
      <c r="CB35" s="217">
        <f t="shared" si="28"/>
        <v>14.648000000000003</v>
      </c>
      <c r="CC35" s="220">
        <v>81</v>
      </c>
      <c r="CD35" s="191">
        <v>42.154</v>
      </c>
      <c r="CE35" s="214"/>
      <c r="CF35" s="137">
        <v>22</v>
      </c>
      <c r="CG35" s="217">
        <f t="shared" si="29"/>
        <v>12.915</v>
      </c>
      <c r="CH35" s="220"/>
      <c r="CI35" s="191">
        <v>55.069</v>
      </c>
      <c r="CJ35" s="254"/>
      <c r="CK35" s="263">
        <v>31</v>
      </c>
      <c r="CL35" s="274">
        <f t="shared" si="30"/>
        <v>17.75</v>
      </c>
      <c r="CM35" s="188">
        <f t="shared" si="31"/>
        <v>1.2394366197183098</v>
      </c>
      <c r="CN35" s="275">
        <f t="shared" si="32"/>
        <v>13.443500000000002</v>
      </c>
      <c r="CO35" s="188">
        <f t="shared" si="33"/>
        <v>0.9606873210101534</v>
      </c>
    </row>
    <row r="36" spans="1:93" ht="13.5" thickBot="1">
      <c r="A36" s="26" t="s">
        <v>16</v>
      </c>
      <c r="B36" s="27"/>
      <c r="C36" s="28"/>
      <c r="D36" s="28"/>
      <c r="E36" s="29">
        <f>SUM(E5:E35)</f>
        <v>289</v>
      </c>
      <c r="F36" s="28"/>
      <c r="G36" s="28"/>
      <c r="H36" s="28"/>
      <c r="I36" s="29">
        <f>SUM(I5:I35)</f>
        <v>498</v>
      </c>
      <c r="J36" s="29">
        <f>SUM(J5:J35)</f>
        <v>342.21</v>
      </c>
      <c r="K36" s="28"/>
      <c r="L36" s="28"/>
      <c r="M36" s="28"/>
      <c r="N36" s="29">
        <f>SUM(N5:N35)</f>
        <v>349</v>
      </c>
      <c r="O36" s="28"/>
      <c r="P36" s="28"/>
      <c r="Q36" s="28"/>
      <c r="R36" s="29">
        <f>SUM(R5:R35)</f>
        <v>440</v>
      </c>
      <c r="S36" s="29">
        <f>SUM(S5:S35)</f>
        <v>285.22</v>
      </c>
      <c r="T36" s="28"/>
      <c r="U36" s="28"/>
      <c r="W36" s="29">
        <f>SUM(W5:W35)</f>
        <v>843</v>
      </c>
      <c r="X36" s="29">
        <f>SUM(X5:X35)</f>
        <v>313.37</v>
      </c>
      <c r="Y36" s="28"/>
      <c r="Z36" s="28"/>
      <c r="AA36" s="142"/>
      <c r="AB36" s="29">
        <f>SUM(AB5:AB35)</f>
        <v>771</v>
      </c>
      <c r="AC36" s="29">
        <f>SUM(AC5:AC35)</f>
        <v>265.22999999999996</v>
      </c>
      <c r="AD36" s="28"/>
      <c r="AE36" s="28"/>
      <c r="AF36" s="28"/>
      <c r="AG36" s="29">
        <f>SUM(AG5:AG35)</f>
        <v>760</v>
      </c>
      <c r="AH36" s="29">
        <f>SUM(AH5:AH35)</f>
        <v>265.00999999999993</v>
      </c>
      <c r="AI36" s="28"/>
      <c r="AJ36" s="28"/>
      <c r="AK36" s="28"/>
      <c r="AL36" s="29">
        <f>SUM(AL5:AL35)</f>
        <v>810</v>
      </c>
      <c r="AM36" s="29">
        <f>SUM(AM5:AM35)</f>
        <v>241.03999999999996</v>
      </c>
      <c r="AN36" s="28"/>
      <c r="AO36" s="28"/>
      <c r="AP36" s="142"/>
      <c r="AQ36" s="29">
        <f>SUM(AQ5:AQ35)</f>
        <v>879</v>
      </c>
      <c r="AR36" s="29">
        <f>SUM(AR5:AR35)</f>
        <v>319.07000000000005</v>
      </c>
      <c r="AS36" s="28"/>
      <c r="AT36" s="28"/>
      <c r="AU36" s="28"/>
      <c r="AV36" s="29">
        <f>SUM(AV5:AV35)</f>
        <v>613</v>
      </c>
      <c r="AW36" s="29">
        <f>SUM(AW5:AW35)</f>
        <v>281.59</v>
      </c>
      <c r="AX36" s="142"/>
      <c r="AY36" s="28"/>
      <c r="AZ36" s="28"/>
      <c r="BA36" s="28"/>
      <c r="BB36" s="29">
        <f>SUM(BB5:BB35)</f>
        <v>716</v>
      </c>
      <c r="BC36" s="29">
        <f>SUM(BC5:BC35)</f>
        <v>265.13</v>
      </c>
      <c r="BD36" s="28"/>
      <c r="BE36" s="28"/>
      <c r="BF36" s="235"/>
      <c r="BG36" s="235"/>
      <c r="BH36" s="29">
        <f>SUM(BH5:BH35)</f>
        <v>751</v>
      </c>
      <c r="BI36" s="29">
        <f>SUM(BI5:BI35)</f>
        <v>270.367</v>
      </c>
      <c r="BJ36" s="142"/>
      <c r="BK36" s="28"/>
      <c r="BL36" s="28"/>
      <c r="BM36" s="235"/>
      <c r="BN36" s="252"/>
      <c r="BO36" s="252"/>
      <c r="BR36" s="187"/>
      <c r="BS36" s="187"/>
      <c r="BV36" s="29">
        <f>SUM(BV5:BV35)</f>
        <v>686</v>
      </c>
      <c r="BW36" s="29">
        <f>SUM(BW5:BW35)</f>
        <v>283.75700000000006</v>
      </c>
      <c r="BX36" s="28"/>
      <c r="BY36" s="28"/>
      <c r="BZ36" s="28"/>
      <c r="CA36" s="29">
        <f>SUM(CA5:CA35)</f>
        <v>615</v>
      </c>
      <c r="CB36" s="29">
        <f>SUM(CB5:CB35)</f>
        <v>270.2010000000001</v>
      </c>
      <c r="CC36" s="28"/>
      <c r="CD36" s="28"/>
      <c r="CE36" s="28"/>
      <c r="CF36" s="29">
        <f>SUM(CF5:CF35)</f>
        <v>660</v>
      </c>
      <c r="CG36" s="29">
        <f>SUM(CG5:CG35)</f>
        <v>266.561</v>
      </c>
      <c r="CH36" s="28"/>
      <c r="CI36" s="28"/>
      <c r="CJ36" s="235"/>
      <c r="CK36" s="264" t="s">
        <v>16</v>
      </c>
      <c r="CL36" s="274">
        <f>AVERAGE(AV36,BB36,BH36,BV36)</f>
        <v>691.5</v>
      </c>
      <c r="CM36" s="188">
        <f t="shared" si="31"/>
        <v>0.9544468546637744</v>
      </c>
      <c r="CN36" s="275">
        <f t="shared" si="32"/>
        <v>272.36375000000004</v>
      </c>
      <c r="CO36" s="188">
        <f t="shared" si="33"/>
        <v>0.9786948520131623</v>
      </c>
    </row>
    <row r="38" spans="9:18" ht="12.75">
      <c r="I38" s="130"/>
      <c r="R38" s="28"/>
    </row>
  </sheetData>
  <sheetProtection selectLockedCells="1" selectUnlockedCells="1"/>
  <mergeCells count="69">
    <mergeCell ref="A2:A4"/>
    <mergeCell ref="F2:G2"/>
    <mergeCell ref="I2:J2"/>
    <mergeCell ref="K2:L2"/>
    <mergeCell ref="O2:P2"/>
    <mergeCell ref="F3:G3"/>
    <mergeCell ref="T3:U3"/>
    <mergeCell ref="W3:X3"/>
    <mergeCell ref="K1:U1"/>
    <mergeCell ref="I3:J3"/>
    <mergeCell ref="K3:L3"/>
    <mergeCell ref="O3:P3"/>
    <mergeCell ref="R3:S3"/>
    <mergeCell ref="R2:S2"/>
    <mergeCell ref="T2:U2"/>
    <mergeCell ref="W2:X2"/>
    <mergeCell ref="W1:Z1"/>
    <mergeCell ref="Y2:Z2"/>
    <mergeCell ref="AQ1:AT1"/>
    <mergeCell ref="AQ2:AR2"/>
    <mergeCell ref="AS2:AT2"/>
    <mergeCell ref="AL2:AM2"/>
    <mergeCell ref="AN2:AO2"/>
    <mergeCell ref="AD2:AE2"/>
    <mergeCell ref="AB1:AE1"/>
    <mergeCell ref="AL1:AO1"/>
    <mergeCell ref="AB3:AC3"/>
    <mergeCell ref="AD3:AE3"/>
    <mergeCell ref="Y3:Z3"/>
    <mergeCell ref="AB2:AC2"/>
    <mergeCell ref="AG2:AH2"/>
    <mergeCell ref="AG3:AH3"/>
    <mergeCell ref="CK2:CK4"/>
    <mergeCell ref="AI3:AJ3"/>
    <mergeCell ref="AI2:AJ2"/>
    <mergeCell ref="AV2:AW2"/>
    <mergeCell ref="AY2:AZ2"/>
    <mergeCell ref="AV3:AW3"/>
    <mergeCell ref="AS3:AT3"/>
    <mergeCell ref="BB3:BC3"/>
    <mergeCell ref="BD3:BE3"/>
    <mergeCell ref="BB2:BC2"/>
    <mergeCell ref="AQ3:AR3"/>
    <mergeCell ref="BK3:BL3"/>
    <mergeCell ref="AY3:AZ3"/>
    <mergeCell ref="BB1:BE1"/>
    <mergeCell ref="BD2:BE2"/>
    <mergeCell ref="AL3:AM3"/>
    <mergeCell ref="AN3:AO3"/>
    <mergeCell ref="AV1:AZ1"/>
    <mergeCell ref="BV2:BW2"/>
    <mergeCell ref="BV3:BW3"/>
    <mergeCell ref="BX2:BY2"/>
    <mergeCell ref="BX3:BY3"/>
    <mergeCell ref="BH1:BL1"/>
    <mergeCell ref="BH2:BI2"/>
    <mergeCell ref="BK2:BL2"/>
    <mergeCell ref="BH3:BI3"/>
    <mergeCell ref="BV1:BY1"/>
    <mergeCell ref="CF1:CI1"/>
    <mergeCell ref="CF2:CG2"/>
    <mergeCell ref="CH2:CI2"/>
    <mergeCell ref="CF3:CG3"/>
    <mergeCell ref="CH3:CI3"/>
    <mergeCell ref="CA1:CD1"/>
    <mergeCell ref="CA2:CB2"/>
    <mergeCell ref="CC2:CD2"/>
    <mergeCell ref="CA3:CB3"/>
    <mergeCell ref="CC3:CD3"/>
  </mergeCells>
  <conditionalFormatting sqref="CM5:CM36 CO5:CO36">
    <cfRule type="cellIs" priority="1" dxfId="8" operator="lessThan" stopIfTrue="1">
      <formula>0.7</formula>
    </cfRule>
    <cfRule type="cellIs" priority="2" dxfId="7" operator="greaterThan" stopIfTrue="1">
      <formula>1.3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70" zoomScaleNormal="70" zoomScalePageLayoutView="0" workbookViewId="0" topLeftCell="A11">
      <selection activeCell="F23" sqref="F23"/>
    </sheetView>
  </sheetViews>
  <sheetFormatPr defaultColWidth="12" defaultRowHeight="14.25"/>
  <cols>
    <col min="1" max="1" width="18.8984375" style="30" customWidth="1"/>
    <col min="2" max="2" width="12" style="30" customWidth="1"/>
    <col min="3" max="3" width="13.8984375" style="30" customWidth="1"/>
    <col min="4" max="4" width="15.5" style="30" customWidth="1"/>
    <col min="5" max="5" width="15.69921875" style="30" customWidth="1"/>
    <col min="6" max="16384" width="12" style="30" customWidth="1"/>
  </cols>
  <sheetData>
    <row r="1" ht="15">
      <c r="B1" s="31" t="s">
        <v>17</v>
      </c>
    </row>
    <row r="2" ht="14.25">
      <c r="B2" s="162"/>
    </row>
    <row r="3" ht="15" thickBot="1">
      <c r="B3" s="163"/>
    </row>
    <row r="4" spans="1:5" ht="30.75" thickBot="1">
      <c r="A4" s="32" t="s">
        <v>18</v>
      </c>
      <c r="B4" s="176" t="s">
        <v>19</v>
      </c>
      <c r="C4" s="177" t="s">
        <v>20</v>
      </c>
      <c r="D4" s="178" t="s">
        <v>21</v>
      </c>
      <c r="E4" s="33" t="s">
        <v>22</v>
      </c>
    </row>
    <row r="5" spans="1:5" ht="15">
      <c r="A5" s="34"/>
      <c r="B5" s="180"/>
      <c r="C5" s="181"/>
      <c r="D5" s="182"/>
      <c r="E5" s="173"/>
    </row>
    <row r="6" spans="1:7" ht="23.25" customHeight="1">
      <c r="A6" s="154">
        <v>44729</v>
      </c>
      <c r="B6" s="194">
        <f>217.64+15.85</f>
        <v>233.48999999999998</v>
      </c>
      <c r="C6" s="172">
        <f>E6-B6</f>
        <v>1820.5800000000002</v>
      </c>
      <c r="D6" s="183" t="s">
        <v>23</v>
      </c>
      <c r="E6" s="174">
        <v>2054.07</v>
      </c>
      <c r="F6" s="35"/>
      <c r="G6" s="156"/>
    </row>
    <row r="7" spans="1:7" ht="31.5" customHeight="1">
      <c r="A7" s="154">
        <v>44760</v>
      </c>
      <c r="B7" s="194">
        <f>217.64+15.85</f>
        <v>233.48999999999998</v>
      </c>
      <c r="C7" s="172">
        <f>E7-B7</f>
        <v>1644.81</v>
      </c>
      <c r="D7" s="183" t="s">
        <v>23</v>
      </c>
      <c r="E7" s="174">
        <v>1878.3</v>
      </c>
      <c r="F7" s="35"/>
      <c r="G7" s="157"/>
    </row>
    <row r="8" spans="1:7" ht="36" customHeight="1">
      <c r="A8" s="154">
        <v>44791</v>
      </c>
      <c r="B8" s="194">
        <f>223.2+15.85</f>
        <v>239.04999999999998</v>
      </c>
      <c r="C8" s="172">
        <f>E8-B8</f>
        <v>1632.29</v>
      </c>
      <c r="D8" s="183" t="s">
        <v>23</v>
      </c>
      <c r="E8" s="174">
        <v>1871.34</v>
      </c>
      <c r="F8" s="36"/>
      <c r="G8" s="156"/>
    </row>
    <row r="9" spans="1:7" ht="36.75" customHeight="1">
      <c r="A9" s="154">
        <v>44822</v>
      </c>
      <c r="B9" s="194">
        <f>217.64+15.85</f>
        <v>233.48999999999998</v>
      </c>
      <c r="C9" s="172">
        <f>E9-B9</f>
        <v>2921.4700000000003</v>
      </c>
      <c r="D9" s="183" t="s">
        <v>23</v>
      </c>
      <c r="E9" s="174">
        <f>532.21+2622.75</f>
        <v>3154.96</v>
      </c>
      <c r="F9" s="36"/>
      <c r="G9" s="157"/>
    </row>
    <row r="10" spans="1:5" ht="42.75" customHeight="1">
      <c r="A10" s="37"/>
      <c r="B10" s="184"/>
      <c r="C10" s="179" t="s">
        <v>24</v>
      </c>
      <c r="D10" s="183"/>
      <c r="E10" s="175"/>
    </row>
    <row r="11" spans="1:7" ht="33.75" customHeight="1">
      <c r="A11" s="153">
        <v>44865</v>
      </c>
      <c r="B11" s="194">
        <f>217.64+15.85</f>
        <v>233.48999999999998</v>
      </c>
      <c r="C11" s="172">
        <f aca="true" t="shared" si="0" ref="C11:C18">AVERAGE(C$6:C$9)</f>
        <v>2004.7875000000001</v>
      </c>
      <c r="D11" s="185">
        <f aca="true" t="shared" si="1" ref="D11:D17">E11-C11-B11</f>
        <v>1513.5924999999997</v>
      </c>
      <c r="E11" s="175">
        <v>3751.87</v>
      </c>
      <c r="F11" s="38"/>
      <c r="G11" s="157"/>
    </row>
    <row r="12" spans="1:7" ht="38.25" customHeight="1">
      <c r="A12" s="153">
        <v>44866</v>
      </c>
      <c r="B12" s="194">
        <f>15.85+223.2</f>
        <v>239.04999999999998</v>
      </c>
      <c r="C12" s="172">
        <f t="shared" si="0"/>
        <v>2004.7875000000001</v>
      </c>
      <c r="D12" s="185">
        <f t="shared" si="1"/>
        <v>3865.4925000000003</v>
      </c>
      <c r="E12" s="175">
        <f>5226.64+643.64+B12</f>
        <v>6109.330000000001</v>
      </c>
      <c r="F12" s="38"/>
      <c r="G12" s="157"/>
    </row>
    <row r="13" spans="1:7" ht="29.25" customHeight="1">
      <c r="A13" s="153">
        <v>44897</v>
      </c>
      <c r="B13" s="194">
        <f>15.85+223.2</f>
        <v>239.04999999999998</v>
      </c>
      <c r="C13" s="172">
        <f t="shared" si="0"/>
        <v>2004.7875000000001</v>
      </c>
      <c r="D13" s="185">
        <f t="shared" si="1"/>
        <v>3405.2825000000003</v>
      </c>
      <c r="E13" s="175">
        <f>4816.89+593.18+B13</f>
        <v>5649.120000000001</v>
      </c>
      <c r="F13" s="38"/>
      <c r="G13" s="157"/>
    </row>
    <row r="14" spans="1:7" ht="33.75" customHeight="1">
      <c r="A14" s="153">
        <v>44928</v>
      </c>
      <c r="B14" s="194">
        <f>(15.85+223.2)*1.23</f>
        <v>294.0315</v>
      </c>
      <c r="C14" s="172">
        <f t="shared" si="0"/>
        <v>2004.7875000000001</v>
      </c>
      <c r="D14" s="185">
        <f t="shared" si="1"/>
        <v>5429.9598</v>
      </c>
      <c r="E14" s="175">
        <f>(5381.77+662.74)*1.23+B14</f>
        <v>7728.7788</v>
      </c>
      <c r="F14" s="38"/>
      <c r="G14" s="157"/>
    </row>
    <row r="15" spans="1:7" ht="27.75" customHeight="1">
      <c r="A15" s="153">
        <v>44959</v>
      </c>
      <c r="B15" s="194">
        <f>(15.85+223.2)*1.23</f>
        <v>294.0315</v>
      </c>
      <c r="C15" s="172">
        <f t="shared" si="0"/>
        <v>2004.7875000000001</v>
      </c>
      <c r="D15" s="185">
        <f t="shared" si="1"/>
        <v>4438.050899999999</v>
      </c>
      <c r="E15" s="175">
        <f>(4663.76+574.32)*1.23+B15</f>
        <v>6736.8699</v>
      </c>
      <c r="F15" s="38"/>
      <c r="G15" s="158"/>
    </row>
    <row r="16" spans="1:7" ht="29.25" customHeight="1">
      <c r="A16" s="153">
        <v>44990</v>
      </c>
      <c r="B16" s="194">
        <f>(15.85+223.2)*1.23</f>
        <v>294.0315</v>
      </c>
      <c r="C16" s="172">
        <f t="shared" si="0"/>
        <v>2004.7875000000001</v>
      </c>
      <c r="D16" s="185">
        <f t="shared" si="1"/>
        <v>4846.750999999999</v>
      </c>
      <c r="E16" s="175">
        <v>7145.57</v>
      </c>
      <c r="F16" s="38"/>
      <c r="G16" s="158"/>
    </row>
    <row r="17" spans="1:5" ht="33" customHeight="1">
      <c r="A17" s="153">
        <v>45021</v>
      </c>
      <c r="B17" s="194">
        <f>(15.85+223.2)*1.23</f>
        <v>294.0315</v>
      </c>
      <c r="C17" s="172">
        <f t="shared" si="0"/>
        <v>2004.7875000000001</v>
      </c>
      <c r="D17" s="186">
        <f t="shared" si="1"/>
        <v>2642.2709999999997</v>
      </c>
      <c r="E17" s="175">
        <v>4941.09</v>
      </c>
    </row>
    <row r="18" spans="1:5" ht="33" customHeight="1" thickBot="1">
      <c r="A18" s="153">
        <v>45052</v>
      </c>
      <c r="B18" s="194">
        <f>(15.85+223.2)*1.23</f>
        <v>294.0315</v>
      </c>
      <c r="C18" s="172">
        <f t="shared" si="0"/>
        <v>2004.7875000000001</v>
      </c>
      <c r="D18" s="186">
        <f>E18-C18-B18</f>
        <v>1295.581</v>
      </c>
      <c r="E18" s="175">
        <v>3594.4</v>
      </c>
    </row>
    <row r="19" spans="1:5" ht="15.75" thickBot="1">
      <c r="A19" s="39"/>
      <c r="B19" s="40"/>
      <c r="C19" s="41"/>
      <c r="D19" s="41"/>
      <c r="E19" s="202">
        <f>SUM(E6:E18)</f>
        <v>54615.6987</v>
      </c>
    </row>
    <row r="20" spans="1:5" ht="15.75" thickBot="1">
      <c r="A20" s="199" t="s">
        <v>25</v>
      </c>
      <c r="B20" s="200">
        <f>SUM(B6:B19)</f>
        <v>3121.2675</v>
      </c>
      <c r="C20" s="165">
        <f>SUM(C6:C19)</f>
        <v>24057.449999999997</v>
      </c>
      <c r="D20" s="201">
        <f>SUM(D6:D19)</f>
        <v>27436.9812</v>
      </c>
      <c r="E20" s="203">
        <f>SUM(B20:D20)</f>
        <v>54615.69869999999</v>
      </c>
    </row>
    <row r="21" ht="14.25">
      <c r="F21" s="238"/>
    </row>
    <row r="22" spans="5:6" ht="14.25">
      <c r="E22" s="237"/>
      <c r="F22" s="238"/>
    </row>
    <row r="23" spans="5:6" ht="14.25">
      <c r="E23" s="164"/>
      <c r="F23" s="294"/>
    </row>
    <row r="24" spans="2:7" ht="14.25">
      <c r="B24" s="166"/>
      <c r="C24" s="166"/>
      <c r="D24" s="166"/>
      <c r="E24" s="167"/>
      <c r="F24" s="168"/>
      <c r="G24" s="169"/>
    </row>
    <row r="25" spans="2:7" ht="14.25">
      <c r="B25" s="170"/>
      <c r="C25" s="170"/>
      <c r="D25" s="170"/>
      <c r="E25" s="171"/>
      <c r="F25" s="169"/>
      <c r="G25" s="17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="85" zoomScaleNormal="85" zoomScalePageLayoutView="0" workbookViewId="0" topLeftCell="B26">
      <selection activeCell="U7" sqref="U7"/>
    </sheetView>
  </sheetViews>
  <sheetFormatPr defaultColWidth="8.796875" defaultRowHeight="14.25"/>
  <cols>
    <col min="1" max="1" width="13.59765625" style="42" customWidth="1"/>
    <col min="2" max="2" width="13.19921875" style="43" customWidth="1"/>
    <col min="3" max="3" width="11.5" style="44" customWidth="1"/>
    <col min="4" max="4" width="2.3984375" style="45" customWidth="1"/>
    <col min="5" max="5" width="14.09765625" style="42" customWidth="1"/>
    <col min="6" max="6" width="10.3984375" style="43" customWidth="1"/>
    <col min="7" max="7" width="15.09765625" style="46" customWidth="1"/>
    <col min="8" max="8" width="2.3984375" style="45" customWidth="1"/>
    <col min="9" max="9" width="13.19921875" style="42" customWidth="1"/>
    <col min="10" max="10" width="11.19921875" style="43" customWidth="1"/>
    <col min="11" max="11" width="11.3984375" style="46" customWidth="1"/>
    <col min="12" max="12" width="2.3984375" style="45" customWidth="1"/>
    <col min="13" max="13" width="10.19921875" style="47" customWidth="1"/>
    <col min="14" max="15" width="9.3984375" style="204" bestFit="1" customWidth="1"/>
    <col min="16" max="16" width="9.8984375" style="207" customWidth="1"/>
    <col min="17" max="17" width="13.09765625" style="42" customWidth="1"/>
    <col min="18" max="18" width="3.19921875" style="42" customWidth="1"/>
    <col min="19" max="19" width="9" style="42" customWidth="1"/>
    <col min="20" max="20" width="10.19921875" style="161" customWidth="1"/>
    <col min="21" max="21" width="9.3984375" style="161" customWidth="1"/>
    <col min="22" max="16384" width="9" style="42" customWidth="1"/>
  </cols>
  <sheetData>
    <row r="1" spans="1:21" ht="15" customHeight="1">
      <c r="A1" s="339" t="s">
        <v>26</v>
      </c>
      <c r="B1" s="339"/>
      <c r="C1" s="339"/>
      <c r="E1" s="340" t="s">
        <v>27</v>
      </c>
      <c r="F1" s="340"/>
      <c r="G1" s="340"/>
      <c r="I1" s="341" t="s">
        <v>28</v>
      </c>
      <c r="J1" s="341"/>
      <c r="K1" s="341"/>
      <c r="M1" s="331" t="s">
        <v>91</v>
      </c>
      <c r="N1" s="334" t="s">
        <v>115</v>
      </c>
      <c r="O1" s="334" t="s">
        <v>117</v>
      </c>
      <c r="P1" s="336" t="s">
        <v>116</v>
      </c>
      <c r="Q1" s="337" t="s">
        <v>84</v>
      </c>
      <c r="R1" s="52"/>
      <c r="S1" s="52"/>
      <c r="T1" s="335" t="s">
        <v>87</v>
      </c>
      <c r="U1" s="239"/>
    </row>
    <row r="2" spans="1:21" ht="50.25" customHeight="1">
      <c r="A2" s="339"/>
      <c r="B2" s="339"/>
      <c r="C2" s="339"/>
      <c r="E2" s="340"/>
      <c r="F2" s="340"/>
      <c r="G2" s="340"/>
      <c r="I2" s="341"/>
      <c r="J2" s="341"/>
      <c r="K2" s="341"/>
      <c r="M2" s="332"/>
      <c r="N2" s="334"/>
      <c r="O2" s="334"/>
      <c r="P2" s="336"/>
      <c r="Q2" s="337"/>
      <c r="R2" s="52"/>
      <c r="S2" s="52"/>
      <c r="T2" s="335"/>
      <c r="U2" s="239"/>
    </row>
    <row r="3" spans="1:21" s="52" customFormat="1" ht="15" customHeight="1">
      <c r="A3" s="48"/>
      <c r="B3" s="48"/>
      <c r="C3" s="48"/>
      <c r="D3" s="45"/>
      <c r="E3" s="48"/>
      <c r="F3" s="48"/>
      <c r="G3" s="48"/>
      <c r="H3" s="45"/>
      <c r="I3" s="49"/>
      <c r="J3" s="50"/>
      <c r="K3" s="51"/>
      <c r="L3" s="45"/>
      <c r="M3" s="332"/>
      <c r="N3" s="334"/>
      <c r="O3" s="334"/>
      <c r="P3" s="336"/>
      <c r="Q3" s="337"/>
      <c r="T3" s="335"/>
      <c r="U3" s="239"/>
    </row>
    <row r="4" spans="1:21" s="61" customFormat="1" ht="15">
      <c r="A4" s="53">
        <f>'RACHUNKI ZA GAZ rozbicie'!A6</f>
        <v>44729</v>
      </c>
      <c r="B4" s="54">
        <f>'RACHUNKI ZA GAZ rozbicie'!B6</f>
        <v>233.48999999999998</v>
      </c>
      <c r="C4" s="55"/>
      <c r="D4" s="56"/>
      <c r="E4" s="53">
        <f>A4</f>
        <v>44729</v>
      </c>
      <c r="F4" s="57">
        <f>'RACHUNKI ZA GAZ rozbicie'!C6</f>
        <v>1820.5800000000002</v>
      </c>
      <c r="G4" s="58"/>
      <c r="H4" s="56"/>
      <c r="I4" s="59"/>
      <c r="J4" s="60"/>
      <c r="K4" s="58"/>
      <c r="L4" s="56"/>
      <c r="M4" s="332"/>
      <c r="N4" s="334"/>
      <c r="O4" s="334"/>
      <c r="P4" s="336"/>
      <c r="Q4" s="337"/>
      <c r="R4" s="226"/>
      <c r="S4" s="226"/>
      <c r="T4" s="335"/>
      <c r="U4" s="239"/>
    </row>
    <row r="5" spans="1:21" s="63" customFormat="1" ht="15">
      <c r="A5" s="53">
        <f>'RACHUNKI ZA GAZ rozbicie'!A7</f>
        <v>44760</v>
      </c>
      <c r="B5" s="54">
        <f>'RACHUNKI ZA GAZ rozbicie'!B7</f>
        <v>233.48999999999998</v>
      </c>
      <c r="C5" s="55"/>
      <c r="D5" s="62"/>
      <c r="E5" s="53">
        <f aca="true" t="shared" si="0" ref="E5:E14">A5</f>
        <v>44760</v>
      </c>
      <c r="F5" s="57">
        <f>'RACHUNKI ZA GAZ rozbicie'!C7</f>
        <v>1644.81</v>
      </c>
      <c r="G5" s="58"/>
      <c r="H5" s="62"/>
      <c r="I5" s="59"/>
      <c r="J5" s="60"/>
      <c r="K5" s="58"/>
      <c r="L5" s="62"/>
      <c r="M5" s="332"/>
      <c r="N5" s="334"/>
      <c r="O5" s="334"/>
      <c r="P5" s="336"/>
      <c r="Q5" s="337"/>
      <c r="R5" s="227"/>
      <c r="S5" s="227"/>
      <c r="T5" s="335"/>
      <c r="U5" s="239"/>
    </row>
    <row r="6" spans="1:21" s="63" customFormat="1" ht="15">
      <c r="A6" s="53">
        <f>'RACHUNKI ZA GAZ rozbicie'!A8</f>
        <v>44791</v>
      </c>
      <c r="B6" s="54">
        <f>'RACHUNKI ZA GAZ rozbicie'!B8</f>
        <v>239.04999999999998</v>
      </c>
      <c r="C6" s="55"/>
      <c r="D6" s="62"/>
      <c r="E6" s="53">
        <f t="shared" si="0"/>
        <v>44791</v>
      </c>
      <c r="F6" s="57">
        <f>'RACHUNKI ZA GAZ rozbicie'!C8</f>
        <v>1632.29</v>
      </c>
      <c r="G6" s="58"/>
      <c r="H6" s="62"/>
      <c r="I6" s="59"/>
      <c r="J6" s="60"/>
      <c r="K6" s="58"/>
      <c r="L6" s="62"/>
      <c r="M6" s="332"/>
      <c r="N6" s="334"/>
      <c r="O6" s="334"/>
      <c r="P6" s="336"/>
      <c r="Q6" s="337"/>
      <c r="R6" s="227"/>
      <c r="S6" s="227"/>
      <c r="T6" s="335"/>
      <c r="U6" s="239"/>
    </row>
    <row r="7" spans="1:21" s="63" customFormat="1" ht="15">
      <c r="A7" s="53">
        <f>'RACHUNKI ZA GAZ rozbicie'!A9</f>
        <v>44822</v>
      </c>
      <c r="B7" s="54">
        <f>'RACHUNKI ZA GAZ rozbicie'!B9</f>
        <v>233.48999999999998</v>
      </c>
      <c r="C7" s="55"/>
      <c r="D7" s="62"/>
      <c r="E7" s="53">
        <f t="shared" si="0"/>
        <v>44822</v>
      </c>
      <c r="F7" s="57">
        <f>'RACHUNKI ZA GAZ rozbicie'!C9</f>
        <v>2921.4700000000003</v>
      </c>
      <c r="G7" s="58"/>
      <c r="H7" s="62"/>
      <c r="I7" s="59"/>
      <c r="J7" s="60"/>
      <c r="K7" s="58"/>
      <c r="L7" s="62"/>
      <c r="M7" s="332"/>
      <c r="N7" s="334"/>
      <c r="O7" s="334"/>
      <c r="P7" s="336"/>
      <c r="Q7" s="337"/>
      <c r="R7" s="227"/>
      <c r="S7" s="227"/>
      <c r="T7" s="335"/>
      <c r="U7" s="239"/>
    </row>
    <row r="8" spans="1:21" s="63" customFormat="1" ht="16.5" customHeight="1">
      <c r="A8" s="53">
        <f>'RACHUNKI ZA GAZ rozbicie'!A11</f>
        <v>44865</v>
      </c>
      <c r="B8" s="54">
        <f>'RACHUNKI ZA GAZ rozbicie'!B11</f>
        <v>233.48999999999998</v>
      </c>
      <c r="C8" s="55"/>
      <c r="D8" s="62"/>
      <c r="E8" s="53">
        <f t="shared" si="0"/>
        <v>44865</v>
      </c>
      <c r="F8" s="57">
        <f>'RACHUNKI ZA GAZ rozbicie'!C11</f>
        <v>2004.7875000000001</v>
      </c>
      <c r="G8" s="58"/>
      <c r="H8" s="62"/>
      <c r="I8" s="53">
        <f>E8</f>
        <v>44865</v>
      </c>
      <c r="J8" s="148">
        <f>'RACHUNKI ZA GAZ rozbicie'!D11</f>
        <v>1513.5924999999997</v>
      </c>
      <c r="K8" s="58"/>
      <c r="L8" s="62"/>
      <c r="M8" s="332"/>
      <c r="N8" s="334"/>
      <c r="O8" s="334"/>
      <c r="P8" s="336"/>
      <c r="Q8" s="337"/>
      <c r="R8" s="227"/>
      <c r="S8" s="227"/>
      <c r="T8" s="335"/>
      <c r="U8" s="239"/>
    </row>
    <row r="9" spans="1:21" s="63" customFormat="1" ht="15">
      <c r="A9" s="53">
        <f>'RACHUNKI ZA GAZ rozbicie'!A12</f>
        <v>44866</v>
      </c>
      <c r="B9" s="54">
        <f>'RACHUNKI ZA GAZ rozbicie'!B12</f>
        <v>239.04999999999998</v>
      </c>
      <c r="C9" s="55"/>
      <c r="D9" s="62"/>
      <c r="E9" s="53">
        <f t="shared" si="0"/>
        <v>44866</v>
      </c>
      <c r="F9" s="57">
        <f>'RACHUNKI ZA GAZ rozbicie'!C12</f>
        <v>2004.7875000000001</v>
      </c>
      <c r="G9" s="58"/>
      <c r="H9" s="62"/>
      <c r="I9" s="53">
        <f aca="true" t="shared" si="1" ref="I9:I14">E9</f>
        <v>44866</v>
      </c>
      <c r="J9" s="148">
        <f>'RACHUNKI ZA GAZ rozbicie'!D12</f>
        <v>3865.4925000000003</v>
      </c>
      <c r="K9" s="58"/>
      <c r="L9" s="62"/>
      <c r="M9" s="332"/>
      <c r="N9" s="334"/>
      <c r="O9" s="334"/>
      <c r="P9" s="336"/>
      <c r="Q9" s="337"/>
      <c r="R9" s="227"/>
      <c r="S9" s="227"/>
      <c r="T9" s="335"/>
      <c r="U9" s="239"/>
    </row>
    <row r="10" spans="1:21" s="63" customFormat="1" ht="15">
      <c r="A10" s="53">
        <f>'RACHUNKI ZA GAZ rozbicie'!A13</f>
        <v>44897</v>
      </c>
      <c r="B10" s="54">
        <f>'RACHUNKI ZA GAZ rozbicie'!B13</f>
        <v>239.04999999999998</v>
      </c>
      <c r="C10" s="55"/>
      <c r="D10" s="62"/>
      <c r="E10" s="53">
        <f t="shared" si="0"/>
        <v>44897</v>
      </c>
      <c r="F10" s="57">
        <f>'RACHUNKI ZA GAZ rozbicie'!C13</f>
        <v>2004.7875000000001</v>
      </c>
      <c r="G10" s="58"/>
      <c r="H10" s="62"/>
      <c r="I10" s="53">
        <f t="shared" si="1"/>
        <v>44897</v>
      </c>
      <c r="J10" s="148">
        <f>'RACHUNKI ZA GAZ rozbicie'!D13</f>
        <v>3405.2825000000003</v>
      </c>
      <c r="K10" s="58"/>
      <c r="L10" s="62"/>
      <c r="M10" s="332"/>
      <c r="N10" s="334"/>
      <c r="O10" s="334"/>
      <c r="P10" s="336"/>
      <c r="Q10" s="337"/>
      <c r="R10" s="227"/>
      <c r="S10" s="227"/>
      <c r="T10" s="335"/>
      <c r="U10" s="239"/>
    </row>
    <row r="11" spans="1:21" s="63" customFormat="1" ht="15">
      <c r="A11" s="53">
        <f>'RACHUNKI ZA GAZ rozbicie'!A14</f>
        <v>44928</v>
      </c>
      <c r="B11" s="54">
        <f>'RACHUNKI ZA GAZ rozbicie'!B14</f>
        <v>294.0315</v>
      </c>
      <c r="C11" s="55"/>
      <c r="D11" s="62"/>
      <c r="E11" s="53">
        <f t="shared" si="0"/>
        <v>44928</v>
      </c>
      <c r="F11" s="57">
        <f>'RACHUNKI ZA GAZ rozbicie'!C14</f>
        <v>2004.7875000000001</v>
      </c>
      <c r="G11" s="58"/>
      <c r="H11" s="62"/>
      <c r="I11" s="53">
        <f t="shared" si="1"/>
        <v>44928</v>
      </c>
      <c r="J11" s="148">
        <f>'RACHUNKI ZA GAZ rozbicie'!D14</f>
        <v>5429.9598</v>
      </c>
      <c r="K11" s="58"/>
      <c r="L11" s="62"/>
      <c r="M11" s="332"/>
      <c r="N11" s="334"/>
      <c r="O11" s="334"/>
      <c r="P11" s="336"/>
      <c r="Q11" s="337"/>
      <c r="R11" s="227"/>
      <c r="S11" s="227"/>
      <c r="T11" s="335"/>
      <c r="U11" s="239"/>
    </row>
    <row r="12" spans="1:21" s="63" customFormat="1" ht="15">
      <c r="A12" s="53">
        <f>'RACHUNKI ZA GAZ rozbicie'!A15</f>
        <v>44959</v>
      </c>
      <c r="B12" s="54">
        <f>'RACHUNKI ZA GAZ rozbicie'!B15</f>
        <v>294.0315</v>
      </c>
      <c r="C12" s="55"/>
      <c r="D12" s="62"/>
      <c r="E12" s="53">
        <f t="shared" si="0"/>
        <v>44959</v>
      </c>
      <c r="F12" s="57">
        <f>'RACHUNKI ZA GAZ rozbicie'!C15</f>
        <v>2004.7875000000001</v>
      </c>
      <c r="G12" s="58"/>
      <c r="H12" s="62"/>
      <c r="I12" s="53">
        <f t="shared" si="1"/>
        <v>44959</v>
      </c>
      <c r="J12" s="148">
        <f>'RACHUNKI ZA GAZ rozbicie'!D15</f>
        <v>4438.050899999999</v>
      </c>
      <c r="K12" s="58"/>
      <c r="L12" s="62"/>
      <c r="M12" s="332"/>
      <c r="N12" s="334"/>
      <c r="O12" s="334"/>
      <c r="P12" s="336"/>
      <c r="Q12" s="337"/>
      <c r="R12" s="227"/>
      <c r="S12" s="227"/>
      <c r="T12" s="335"/>
      <c r="U12" s="239"/>
    </row>
    <row r="13" spans="1:21" s="63" customFormat="1" ht="15">
      <c r="A13" s="53">
        <f>'RACHUNKI ZA GAZ rozbicie'!A16</f>
        <v>44990</v>
      </c>
      <c r="B13" s="54">
        <f>'RACHUNKI ZA GAZ rozbicie'!B16</f>
        <v>294.0315</v>
      </c>
      <c r="C13" s="55"/>
      <c r="D13" s="62"/>
      <c r="E13" s="53">
        <f t="shared" si="0"/>
        <v>44990</v>
      </c>
      <c r="F13" s="57">
        <f>'RACHUNKI ZA GAZ rozbicie'!C16</f>
        <v>2004.7875000000001</v>
      </c>
      <c r="G13" s="58"/>
      <c r="H13" s="62"/>
      <c r="I13" s="53">
        <f t="shared" si="1"/>
        <v>44990</v>
      </c>
      <c r="J13" s="148">
        <f>'RACHUNKI ZA GAZ rozbicie'!D16</f>
        <v>4846.750999999999</v>
      </c>
      <c r="K13" s="58"/>
      <c r="L13" s="62"/>
      <c r="M13" s="332"/>
      <c r="N13" s="334"/>
      <c r="O13" s="334"/>
      <c r="P13" s="336"/>
      <c r="Q13" s="337"/>
      <c r="R13" s="227"/>
      <c r="S13" s="227"/>
      <c r="T13" s="335"/>
      <c r="U13" s="239"/>
    </row>
    <row r="14" spans="1:21" s="63" customFormat="1" ht="15">
      <c r="A14" s="53">
        <f>'RACHUNKI ZA GAZ rozbicie'!A17</f>
        <v>45021</v>
      </c>
      <c r="B14" s="54">
        <f>'RACHUNKI ZA GAZ rozbicie'!B17</f>
        <v>294.0315</v>
      </c>
      <c r="C14" s="55"/>
      <c r="D14" s="62"/>
      <c r="E14" s="53">
        <f t="shared" si="0"/>
        <v>45021</v>
      </c>
      <c r="F14" s="57">
        <f>'RACHUNKI ZA GAZ rozbicie'!C17</f>
        <v>2004.7875000000001</v>
      </c>
      <c r="G14" s="58"/>
      <c r="H14" s="62"/>
      <c r="I14" s="53">
        <f t="shared" si="1"/>
        <v>45021</v>
      </c>
      <c r="J14" s="148">
        <f>'RACHUNKI ZA GAZ rozbicie'!D17</f>
        <v>2642.2709999999997</v>
      </c>
      <c r="K14" s="58"/>
      <c r="L14" s="62"/>
      <c r="M14" s="332"/>
      <c r="N14" s="334"/>
      <c r="O14" s="334"/>
      <c r="P14" s="336"/>
      <c r="Q14" s="337"/>
      <c r="R14" s="227"/>
      <c r="S14" s="227"/>
      <c r="T14" s="335"/>
      <c r="U14" s="239"/>
    </row>
    <row r="15" spans="1:21" s="63" customFormat="1" ht="15">
      <c r="A15" s="53">
        <f>'RACHUNKI ZA GAZ rozbicie'!A18</f>
        <v>45052</v>
      </c>
      <c r="B15" s="54">
        <f>'RACHUNKI ZA GAZ rozbicie'!B18</f>
        <v>294.0315</v>
      </c>
      <c r="C15" s="55"/>
      <c r="D15" s="62"/>
      <c r="E15" s="53">
        <f>A15</f>
        <v>45052</v>
      </c>
      <c r="F15" s="57">
        <f>'RACHUNKI ZA GAZ rozbicie'!C18</f>
        <v>2004.7875000000001</v>
      </c>
      <c r="G15" s="58"/>
      <c r="H15" s="62"/>
      <c r="I15" s="53">
        <f>E15</f>
        <v>45052</v>
      </c>
      <c r="J15" s="148">
        <f>'RACHUNKI ZA GAZ rozbicie'!D18</f>
        <v>1295.581</v>
      </c>
      <c r="K15" s="58"/>
      <c r="L15" s="62"/>
      <c r="M15" s="332"/>
      <c r="N15" s="334"/>
      <c r="O15" s="334"/>
      <c r="P15" s="336"/>
      <c r="Q15" s="337"/>
      <c r="R15" s="227"/>
      <c r="S15" s="227"/>
      <c r="T15" s="335"/>
      <c r="U15" s="239"/>
    </row>
    <row r="16" spans="2:21" s="63" customFormat="1" ht="15">
      <c r="B16" s="64"/>
      <c r="C16" s="55"/>
      <c r="D16" s="62"/>
      <c r="F16" s="64"/>
      <c r="G16" s="58"/>
      <c r="H16" s="62"/>
      <c r="J16" s="64"/>
      <c r="K16" s="58"/>
      <c r="L16" s="62"/>
      <c r="M16" s="332"/>
      <c r="N16" s="334"/>
      <c r="O16" s="334"/>
      <c r="P16" s="336"/>
      <c r="Q16" s="337"/>
      <c r="R16" s="227"/>
      <c r="S16" s="227"/>
      <c r="T16" s="335"/>
      <c r="U16" s="239"/>
    </row>
    <row r="17" spans="1:21" ht="15">
      <c r="A17" s="43" t="s">
        <v>29</v>
      </c>
      <c r="B17" s="65">
        <f>SUM(B4:B16)</f>
        <v>3121.2675</v>
      </c>
      <c r="E17" s="43" t="s">
        <v>29</v>
      </c>
      <c r="F17" s="65">
        <f>SUM(F4:F16)</f>
        <v>24057.449999999997</v>
      </c>
      <c r="I17" s="43" t="s">
        <v>29</v>
      </c>
      <c r="J17" s="65">
        <f>SUM(J8:J16)</f>
        <v>27436.9812</v>
      </c>
      <c r="M17" s="332"/>
      <c r="N17" s="334"/>
      <c r="O17" s="334"/>
      <c r="P17" s="336"/>
      <c r="Q17" s="337"/>
      <c r="R17" s="52"/>
      <c r="S17" s="52"/>
      <c r="T17" s="335"/>
      <c r="U17" s="239"/>
    </row>
    <row r="18" spans="1:21" ht="30" customHeight="1">
      <c r="A18" s="66" t="s">
        <v>30</v>
      </c>
      <c r="B18" s="67">
        <v>123267</v>
      </c>
      <c r="E18" s="66" t="s">
        <v>31</v>
      </c>
      <c r="F18" s="195">
        <f>'STANY LICZNIKÓW i ZUŻYCIE'!CF36</f>
        <v>660</v>
      </c>
      <c r="I18" s="66" t="s">
        <v>32</v>
      </c>
      <c r="J18" s="195">
        <f>'STANY LICZNIKÓW i ZUŻYCIE'!CG36</f>
        <v>266.561</v>
      </c>
      <c r="M18" s="332"/>
      <c r="N18" s="334"/>
      <c r="O18" s="334"/>
      <c r="P18" s="336"/>
      <c r="Q18" s="337"/>
      <c r="R18" s="52"/>
      <c r="S18" s="52"/>
      <c r="T18" s="335"/>
      <c r="U18" s="239"/>
    </row>
    <row r="19" spans="1:21" ht="15">
      <c r="A19" s="68" t="s">
        <v>33</v>
      </c>
      <c r="B19" s="69">
        <f>B17/B18</f>
        <v>0.025321193020029692</v>
      </c>
      <c r="E19" s="68" t="s">
        <v>34</v>
      </c>
      <c r="F19" s="70">
        <f>F17/F18</f>
        <v>36.45068181818181</v>
      </c>
      <c r="I19" s="68" t="s">
        <v>35</v>
      </c>
      <c r="J19" s="70">
        <f>J17/J18</f>
        <v>102.92946530062538</v>
      </c>
      <c r="M19" s="332"/>
      <c r="N19" s="334"/>
      <c r="O19" s="334"/>
      <c r="P19" s="336"/>
      <c r="Q19" s="337"/>
      <c r="R19" s="52"/>
      <c r="S19" s="52"/>
      <c r="T19" s="335"/>
      <c r="U19" s="239"/>
    </row>
    <row r="20" spans="5:21" ht="15">
      <c r="E20" s="68"/>
      <c r="M20" s="332"/>
      <c r="N20" s="334"/>
      <c r="O20" s="334"/>
      <c r="P20" s="336"/>
      <c r="Q20" s="337"/>
      <c r="R20" s="52"/>
      <c r="S20" s="52"/>
      <c r="T20" s="335"/>
      <c r="U20" s="239"/>
    </row>
    <row r="21" spans="3:21" ht="15" customHeight="1">
      <c r="C21" s="338" t="s">
        <v>36</v>
      </c>
      <c r="G21" s="338" t="s">
        <v>36</v>
      </c>
      <c r="K21" s="338" t="s">
        <v>36</v>
      </c>
      <c r="M21" s="332"/>
      <c r="N21" s="334"/>
      <c r="O21" s="334"/>
      <c r="P21" s="336"/>
      <c r="Q21" s="337"/>
      <c r="R21" s="52"/>
      <c r="S21" s="52"/>
      <c r="T21" s="335"/>
      <c r="U21" s="239"/>
    </row>
    <row r="22" spans="1:21" ht="15" customHeight="1">
      <c r="A22" s="43" t="s">
        <v>37</v>
      </c>
      <c r="B22" s="43" t="s">
        <v>38</v>
      </c>
      <c r="C22" s="338"/>
      <c r="E22" s="43" t="s">
        <v>37</v>
      </c>
      <c r="F22" s="43" t="s">
        <v>39</v>
      </c>
      <c r="G22" s="338"/>
      <c r="I22" s="43" t="s">
        <v>37</v>
      </c>
      <c r="J22" s="43" t="s">
        <v>40</v>
      </c>
      <c r="K22" s="338"/>
      <c r="M22" s="333"/>
      <c r="N22" s="334"/>
      <c r="O22" s="334"/>
      <c r="P22" s="336"/>
      <c r="Q22" s="337"/>
      <c r="R22" s="52"/>
      <c r="S22" s="228" t="s">
        <v>37</v>
      </c>
      <c r="T22" s="335"/>
      <c r="U22" s="239"/>
    </row>
    <row r="23" spans="1:20" ht="17.25">
      <c r="A23" s="42">
        <v>1</v>
      </c>
      <c r="B23" s="43">
        <v>4644</v>
      </c>
      <c r="C23" s="72">
        <f>B23*B$19</f>
        <v>117.59162038501789</v>
      </c>
      <c r="E23" s="42">
        <v>1</v>
      </c>
      <c r="F23" s="131">
        <f>'STANY LICZNIKÓW i ZUŻYCIE'!CF5</f>
        <v>3</v>
      </c>
      <c r="G23" s="72">
        <f>F23*F$19</f>
        <v>109.35204545454545</v>
      </c>
      <c r="I23" s="42">
        <v>1</v>
      </c>
      <c r="J23" s="132">
        <f>'STANY LICZNIKÓW i ZUŻYCIE'!CG5</f>
        <v>0.5839999999999996</v>
      </c>
      <c r="K23" s="72">
        <f>J23*J$19</f>
        <v>60.11080773556518</v>
      </c>
      <c r="M23" s="73">
        <f>K23+G23+C23</f>
        <v>287.0544735751285</v>
      </c>
      <c r="N23" s="287">
        <v>102.03</v>
      </c>
      <c r="O23" s="285">
        <v>171.91</v>
      </c>
      <c r="P23" s="206">
        <f>N23*4+O23*8</f>
        <v>1783.4</v>
      </c>
      <c r="Q23" s="74">
        <f>P23-M23</f>
        <v>1496.3455264248717</v>
      </c>
      <c r="S23" s="71">
        <v>1</v>
      </c>
      <c r="T23" s="161">
        <f>ROUND(M23*1.2/12,2)</f>
        <v>28.71</v>
      </c>
    </row>
    <row r="24" spans="1:20" ht="17.25">
      <c r="A24" s="42">
        <v>2</v>
      </c>
      <c r="B24" s="43">
        <v>3385</v>
      </c>
      <c r="C24" s="72">
        <f>B24*B$19</f>
        <v>85.71223837280051</v>
      </c>
      <c r="E24" s="42">
        <v>2</v>
      </c>
      <c r="F24" s="131">
        <f>'STANY LICZNIKÓW i ZUŻYCIE'!CF6</f>
        <v>8</v>
      </c>
      <c r="G24" s="72">
        <f>F24*F$19</f>
        <v>291.6054545454545</v>
      </c>
      <c r="I24" s="42">
        <v>2</v>
      </c>
      <c r="J24" s="132">
        <f>'STANY LICZNIKÓW i ZUŻYCIE'!CG6</f>
        <v>7.663000000000004</v>
      </c>
      <c r="K24" s="72">
        <f aca="true" t="shared" si="2" ref="K24:K53">J24*J$19</f>
        <v>788.7484925986927</v>
      </c>
      <c r="M24" s="73">
        <f>K24+G24+C24</f>
        <v>1166.0661855169478</v>
      </c>
      <c r="N24" s="287">
        <v>125.82</v>
      </c>
      <c r="O24" s="285">
        <v>163.14</v>
      </c>
      <c r="P24" s="206">
        <f aca="true" t="shared" si="3" ref="P24:P53">N24*4+O24*8</f>
        <v>1808.3999999999999</v>
      </c>
      <c r="Q24" s="74">
        <f aca="true" t="shared" si="4" ref="Q23:Q53">P24-M24</f>
        <v>642.333814483052</v>
      </c>
      <c r="S24" s="71">
        <v>2</v>
      </c>
      <c r="T24" s="161">
        <f aca="true" t="shared" si="5" ref="T23:T53">ROUND(M24*1.2/12,2)</f>
        <v>116.61</v>
      </c>
    </row>
    <row r="25" spans="1:20" ht="17.25">
      <c r="A25" s="42">
        <v>3</v>
      </c>
      <c r="B25" s="43">
        <v>6283</v>
      </c>
      <c r="C25" s="72">
        <f>B25*B$19</f>
        <v>159.09305574484657</v>
      </c>
      <c r="E25" s="42">
        <v>3</v>
      </c>
      <c r="F25" s="131">
        <f>'STANY LICZNIKÓW i ZUŻYCIE'!CF7</f>
        <v>17</v>
      </c>
      <c r="G25" s="72">
        <f aca="true" t="shared" si="6" ref="G25:G53">F25*F$19</f>
        <v>619.6615909090908</v>
      </c>
      <c r="I25" s="42">
        <v>3</v>
      </c>
      <c r="J25" s="132">
        <f>'STANY LICZNIKÓW i ZUŻYCIE'!CG7</f>
        <v>0.04800000000000004</v>
      </c>
      <c r="K25" s="72">
        <f t="shared" si="2"/>
        <v>4.940614334430022</v>
      </c>
      <c r="M25" s="73">
        <f aca="true" t="shared" si="7" ref="M25:M53">K25+G25+C25</f>
        <v>783.6952609883674</v>
      </c>
      <c r="N25" s="287">
        <v>70.76</v>
      </c>
      <c r="O25" s="285">
        <v>86.15</v>
      </c>
      <c r="P25" s="206">
        <f t="shared" si="3"/>
        <v>972.24</v>
      </c>
      <c r="Q25" s="74">
        <f t="shared" si="4"/>
        <v>188.5447390116326</v>
      </c>
      <c r="S25" s="71">
        <v>3</v>
      </c>
      <c r="T25" s="161">
        <f t="shared" si="5"/>
        <v>78.37</v>
      </c>
    </row>
    <row r="26" spans="1:20" ht="17.25">
      <c r="A26" s="42">
        <v>4</v>
      </c>
      <c r="B26" s="43">
        <v>2936</v>
      </c>
      <c r="C26" s="72">
        <f aca="true" t="shared" si="8" ref="C26:C53">B26*B$19</f>
        <v>74.34302270680718</v>
      </c>
      <c r="E26" s="42">
        <v>4</v>
      </c>
      <c r="F26" s="131">
        <f>'STANY LICZNIKÓW i ZUŻYCIE'!CF8</f>
        <v>21</v>
      </c>
      <c r="G26" s="72">
        <f t="shared" si="6"/>
        <v>765.464318181818</v>
      </c>
      <c r="I26" s="42">
        <v>4</v>
      </c>
      <c r="J26" s="132">
        <f>'STANY LICZNIKÓW i ZUŻYCIE'!CG8</f>
        <v>12.958</v>
      </c>
      <c r="K26" s="72">
        <f t="shared" si="2"/>
        <v>1333.7600113655037</v>
      </c>
      <c r="M26" s="73">
        <f t="shared" si="7"/>
        <v>2173.5673522541288</v>
      </c>
      <c r="N26" s="287">
        <v>136.01</v>
      </c>
      <c r="O26" s="285">
        <v>143.53</v>
      </c>
      <c r="P26" s="206">
        <f t="shared" si="3"/>
        <v>1692.28</v>
      </c>
      <c r="Q26" s="74">
        <f t="shared" si="4"/>
        <v>-481.2873522541288</v>
      </c>
      <c r="S26" s="71">
        <v>4</v>
      </c>
      <c r="T26" s="161">
        <f t="shared" si="5"/>
        <v>217.36</v>
      </c>
    </row>
    <row r="27" spans="1:20" ht="17.25">
      <c r="A27" s="42">
        <v>5</v>
      </c>
      <c r="B27" s="43">
        <v>4598</v>
      </c>
      <c r="C27" s="72">
        <f t="shared" si="8"/>
        <v>116.42684550609653</v>
      </c>
      <c r="E27" s="42">
        <v>5</v>
      </c>
      <c r="F27" s="131">
        <f>'STANY LICZNIKÓW i ZUŻYCIE'!CF9</f>
        <v>40</v>
      </c>
      <c r="G27" s="72">
        <f t="shared" si="6"/>
        <v>1458.0272727272725</v>
      </c>
      <c r="I27" s="42">
        <v>5</v>
      </c>
      <c r="J27" s="132">
        <f>'STANY LICZNIKÓW i ZUŻYCIE'!CG9</f>
        <v>18.342999999999996</v>
      </c>
      <c r="K27" s="72">
        <f t="shared" si="2"/>
        <v>1888.035182009371</v>
      </c>
      <c r="M27" s="73">
        <f t="shared" si="7"/>
        <v>3462.48930024274</v>
      </c>
      <c r="N27" s="287">
        <v>17.86</v>
      </c>
      <c r="O27" s="285">
        <v>110.93</v>
      </c>
      <c r="P27" s="206">
        <f t="shared" si="3"/>
        <v>958.8800000000001</v>
      </c>
      <c r="Q27" s="74">
        <f t="shared" si="4"/>
        <v>-2503.6093002427397</v>
      </c>
      <c r="S27" s="71">
        <v>5</v>
      </c>
      <c r="T27" s="161">
        <f t="shared" si="5"/>
        <v>346.25</v>
      </c>
    </row>
    <row r="28" spans="1:20" ht="17.25">
      <c r="A28" s="42">
        <v>6</v>
      </c>
      <c r="B28" s="43">
        <v>3405</v>
      </c>
      <c r="C28" s="72">
        <f t="shared" si="8"/>
        <v>86.2186622332011</v>
      </c>
      <c r="E28" s="42">
        <v>6</v>
      </c>
      <c r="F28" s="131">
        <f>'STANY LICZNIKÓW i ZUŻYCIE'!CF10</f>
        <v>22</v>
      </c>
      <c r="G28" s="72">
        <f t="shared" si="6"/>
        <v>801.9149999999998</v>
      </c>
      <c r="I28" s="42">
        <v>6</v>
      </c>
      <c r="J28" s="132">
        <f>'STANY LICZNIKÓW i ZUŻYCIE'!CG10</f>
        <v>12.652999999999999</v>
      </c>
      <c r="K28" s="72">
        <f t="shared" si="2"/>
        <v>1302.366524448813</v>
      </c>
      <c r="M28" s="73">
        <f t="shared" si="7"/>
        <v>2190.500186682014</v>
      </c>
      <c r="N28" s="287">
        <v>217.7</v>
      </c>
      <c r="O28" s="285">
        <v>231.01</v>
      </c>
      <c r="P28" s="206">
        <f t="shared" si="3"/>
        <v>2718.88</v>
      </c>
      <c r="Q28" s="74">
        <f t="shared" si="4"/>
        <v>528.3798133179862</v>
      </c>
      <c r="S28" s="71">
        <v>6</v>
      </c>
      <c r="T28" s="161">
        <f t="shared" si="5"/>
        <v>219.05</v>
      </c>
    </row>
    <row r="29" spans="1:20" ht="17.25">
      <c r="A29" s="42">
        <v>7</v>
      </c>
      <c r="B29" s="43">
        <v>6359</v>
      </c>
      <c r="C29" s="72">
        <f t="shared" si="8"/>
        <v>161.0174664143688</v>
      </c>
      <c r="E29" s="42">
        <v>7</v>
      </c>
      <c r="F29" s="131">
        <f>'STANY LICZNIKÓW i ZUŻYCIE'!CF11</f>
        <v>52</v>
      </c>
      <c r="G29" s="72">
        <f t="shared" si="6"/>
        <v>1895.4354545454544</v>
      </c>
      <c r="I29" s="42">
        <v>7</v>
      </c>
      <c r="J29" s="132">
        <f>'STANY LICZNIKÓW i ZUŻYCIE'!CG11</f>
        <v>19.769000000000005</v>
      </c>
      <c r="K29" s="72">
        <f t="shared" si="2"/>
        <v>2034.8125995280636</v>
      </c>
      <c r="M29" s="73">
        <f t="shared" si="7"/>
        <v>4091.2655204878865</v>
      </c>
      <c r="N29" s="287">
        <v>384.44</v>
      </c>
      <c r="O29" s="285">
        <v>487.31</v>
      </c>
      <c r="P29" s="206">
        <f t="shared" si="3"/>
        <v>5436.24</v>
      </c>
      <c r="Q29" s="74">
        <f t="shared" si="4"/>
        <v>1344.9744795121132</v>
      </c>
      <c r="S29" s="71">
        <v>7</v>
      </c>
      <c r="T29" s="161">
        <f t="shared" si="5"/>
        <v>409.13</v>
      </c>
    </row>
    <row r="30" spans="1:20" ht="17.25">
      <c r="A30" s="42">
        <v>8</v>
      </c>
      <c r="B30" s="43">
        <v>2853</v>
      </c>
      <c r="C30" s="72">
        <f t="shared" si="8"/>
        <v>72.24136368614471</v>
      </c>
      <c r="E30" s="42">
        <v>8</v>
      </c>
      <c r="F30" s="131">
        <f>'STANY LICZNIKÓW i ZUŻYCIE'!CF12</f>
        <v>26</v>
      </c>
      <c r="G30" s="72">
        <f t="shared" si="6"/>
        <v>947.7177272727272</v>
      </c>
      <c r="I30" s="42">
        <v>8</v>
      </c>
      <c r="J30" s="132">
        <f>'STANY LICZNIKÓW i ZUŻYCIE'!CG12</f>
        <v>10.166999999999998</v>
      </c>
      <c r="K30" s="72">
        <f t="shared" si="2"/>
        <v>1046.483873711458</v>
      </c>
      <c r="M30" s="73">
        <f t="shared" si="7"/>
        <v>2066.4429646703297</v>
      </c>
      <c r="N30" s="287">
        <v>208.98</v>
      </c>
      <c r="O30" s="285">
        <v>233.03</v>
      </c>
      <c r="P30" s="206">
        <f t="shared" si="3"/>
        <v>2700.16</v>
      </c>
      <c r="Q30" s="74">
        <f t="shared" si="4"/>
        <v>633.7170353296701</v>
      </c>
      <c r="S30" s="71">
        <v>8</v>
      </c>
      <c r="T30" s="161">
        <f t="shared" si="5"/>
        <v>206.64</v>
      </c>
    </row>
    <row r="31" spans="1:20" ht="17.25">
      <c r="A31" s="42">
        <v>9</v>
      </c>
      <c r="B31" s="43">
        <v>2905</v>
      </c>
      <c r="C31" s="72">
        <f t="shared" si="8"/>
        <v>73.55806572318626</v>
      </c>
      <c r="E31" s="42">
        <v>9</v>
      </c>
      <c r="F31" s="131">
        <f>'STANY LICZNIKÓW i ZUŻYCIE'!CF13</f>
        <v>27</v>
      </c>
      <c r="G31" s="72">
        <f t="shared" si="6"/>
        <v>984.168409090909</v>
      </c>
      <c r="I31" s="42">
        <v>9</v>
      </c>
      <c r="J31" s="132">
        <f>'STANY LICZNIKÓW i ZUŻYCIE'!CG13</f>
        <v>5.865000000000002</v>
      </c>
      <c r="K31" s="72">
        <f t="shared" si="2"/>
        <v>603.6813139881681</v>
      </c>
      <c r="M31" s="73">
        <f t="shared" si="7"/>
        <v>1661.4077888022634</v>
      </c>
      <c r="N31" s="287">
        <v>105.59</v>
      </c>
      <c r="O31" s="285">
        <v>131.72</v>
      </c>
      <c r="P31" s="206">
        <f t="shared" si="3"/>
        <v>1476.12</v>
      </c>
      <c r="Q31" s="74">
        <f t="shared" si="4"/>
        <v>-185.28778880226355</v>
      </c>
      <c r="S31" s="71">
        <v>9</v>
      </c>
      <c r="T31" s="161">
        <f t="shared" si="5"/>
        <v>166.14</v>
      </c>
    </row>
    <row r="32" spans="1:20" ht="17.25">
      <c r="A32" s="42">
        <v>10</v>
      </c>
      <c r="B32" s="43">
        <v>4442</v>
      </c>
      <c r="C32" s="72">
        <f t="shared" si="8"/>
        <v>112.47673939497189</v>
      </c>
      <c r="E32" s="42">
        <v>10</v>
      </c>
      <c r="F32" s="131">
        <f>'STANY LICZNIKÓW i ZUŻYCIE'!CA14</f>
        <v>11</v>
      </c>
      <c r="G32" s="72">
        <f t="shared" si="6"/>
        <v>400.9574999999999</v>
      </c>
      <c r="I32" s="42">
        <v>10</v>
      </c>
      <c r="J32" s="132">
        <f>'STANY LICZNIKÓW i ZUŻYCIE'!CG14</f>
        <v>7.908999999999999</v>
      </c>
      <c r="K32" s="72">
        <f t="shared" si="2"/>
        <v>814.069141062646</v>
      </c>
      <c r="M32" s="73">
        <f t="shared" si="7"/>
        <v>1327.5033804576178</v>
      </c>
      <c r="N32" s="287">
        <v>117.64</v>
      </c>
      <c r="O32" s="285">
        <v>179.03</v>
      </c>
      <c r="P32" s="206">
        <f t="shared" si="3"/>
        <v>1902.8</v>
      </c>
      <c r="Q32" s="74">
        <f t="shared" si="4"/>
        <v>575.2966195423821</v>
      </c>
      <c r="S32" s="71">
        <v>10</v>
      </c>
      <c r="T32" s="161">
        <f t="shared" si="5"/>
        <v>132.75</v>
      </c>
    </row>
    <row r="33" spans="1:20" ht="17.25">
      <c r="A33" s="42">
        <v>11</v>
      </c>
      <c r="B33" s="43">
        <v>5899</v>
      </c>
      <c r="C33" s="72">
        <f t="shared" si="8"/>
        <v>149.36971762515515</v>
      </c>
      <c r="E33" s="42">
        <v>11</v>
      </c>
      <c r="F33" s="131">
        <f>'STANY LICZNIKÓW i ZUŻYCIE'!CA15</f>
        <v>19</v>
      </c>
      <c r="G33" s="72">
        <f t="shared" si="6"/>
        <v>692.5629545454544</v>
      </c>
      <c r="I33" s="42">
        <v>11</v>
      </c>
      <c r="J33" s="132">
        <f>'STANY LICZNIKÓW i ZUŻYCIE'!CG15</f>
        <v>13.875999999999998</v>
      </c>
      <c r="K33" s="72">
        <f t="shared" si="2"/>
        <v>1428.2492605114776</v>
      </c>
      <c r="M33" s="73">
        <f t="shared" si="7"/>
        <v>2270.1819326820873</v>
      </c>
      <c r="N33" s="287">
        <v>302.82</v>
      </c>
      <c r="O33" s="285">
        <v>282.1</v>
      </c>
      <c r="P33" s="206">
        <f t="shared" si="3"/>
        <v>3468.08</v>
      </c>
      <c r="Q33" s="74">
        <f t="shared" si="4"/>
        <v>1197.8980673179126</v>
      </c>
      <c r="S33" s="71">
        <v>11</v>
      </c>
      <c r="T33" s="161">
        <f t="shared" si="5"/>
        <v>227.02</v>
      </c>
    </row>
    <row r="34" spans="1:20" ht="17.25">
      <c r="A34" s="42">
        <v>12</v>
      </c>
      <c r="B34" s="43">
        <v>3098</v>
      </c>
      <c r="C34" s="72">
        <f t="shared" si="8"/>
        <v>78.44505597605199</v>
      </c>
      <c r="E34" s="42">
        <v>12</v>
      </c>
      <c r="F34" s="131">
        <f>'STANY LICZNIKÓW i ZUŻYCIE'!CA16</f>
        <v>10</v>
      </c>
      <c r="G34" s="72">
        <f t="shared" si="6"/>
        <v>364.5068181818181</v>
      </c>
      <c r="I34" s="42">
        <v>12</v>
      </c>
      <c r="J34" s="132">
        <f>'STANY LICZNIKÓW i ZUŻYCIE'!CG16</f>
        <v>3.8050000000000006</v>
      </c>
      <c r="K34" s="72">
        <f t="shared" si="2"/>
        <v>391.64661546887965</v>
      </c>
      <c r="M34" s="73">
        <f t="shared" si="7"/>
        <v>834.5984896267497</v>
      </c>
      <c r="N34" s="287">
        <v>219.76</v>
      </c>
      <c r="O34" s="285">
        <v>68.6</v>
      </c>
      <c r="P34" s="206">
        <f t="shared" si="3"/>
        <v>1427.84</v>
      </c>
      <c r="Q34" s="74">
        <f t="shared" si="4"/>
        <v>593.2415103732502</v>
      </c>
      <c r="S34" s="71">
        <v>12</v>
      </c>
      <c r="T34" s="161">
        <f t="shared" si="5"/>
        <v>83.46</v>
      </c>
    </row>
    <row r="35" spans="1:21" s="63" customFormat="1" ht="17.25">
      <c r="A35" s="42">
        <v>13</v>
      </c>
      <c r="B35" s="43">
        <v>2958</v>
      </c>
      <c r="C35" s="72">
        <f t="shared" si="8"/>
        <v>74.90008895324783</v>
      </c>
      <c r="D35" s="62"/>
      <c r="E35" s="42">
        <v>13</v>
      </c>
      <c r="F35" s="131">
        <f>'STANY LICZNIKÓW i ZUŻYCIE'!CA17</f>
        <v>47</v>
      </c>
      <c r="G35" s="72">
        <f t="shared" si="6"/>
        <v>1713.1820454545452</v>
      </c>
      <c r="H35" s="62"/>
      <c r="I35" s="42">
        <v>13</v>
      </c>
      <c r="J35" s="132">
        <f>'STANY LICZNIKÓW i ZUŻYCIE'!CG17</f>
        <v>2.226000000000001</v>
      </c>
      <c r="K35" s="72">
        <f t="shared" si="2"/>
        <v>229.12098975919218</v>
      </c>
      <c r="L35" s="62"/>
      <c r="M35" s="73">
        <f t="shared" si="7"/>
        <v>2017.2031241669854</v>
      </c>
      <c r="N35" s="287">
        <v>153.61</v>
      </c>
      <c r="O35" s="285">
        <v>252.08</v>
      </c>
      <c r="P35" s="206">
        <f t="shared" si="3"/>
        <v>2631.08</v>
      </c>
      <c r="Q35" s="74">
        <f t="shared" si="4"/>
        <v>613.8768758330145</v>
      </c>
      <c r="S35" s="71">
        <v>13</v>
      </c>
      <c r="T35" s="161">
        <f t="shared" si="5"/>
        <v>201.72</v>
      </c>
      <c r="U35" s="161"/>
    </row>
    <row r="36" spans="1:20" ht="17.25">
      <c r="A36" s="42">
        <v>14</v>
      </c>
      <c r="B36" s="43">
        <v>2935</v>
      </c>
      <c r="C36" s="72">
        <f t="shared" si="8"/>
        <v>74.31770151378714</v>
      </c>
      <c r="E36" s="42">
        <v>14</v>
      </c>
      <c r="F36" s="131">
        <f>'STANY LICZNIKÓW i ZUŻYCIE'!CA18</f>
        <v>21</v>
      </c>
      <c r="G36" s="72">
        <f t="shared" si="6"/>
        <v>765.464318181818</v>
      </c>
      <c r="I36" s="42">
        <v>14</v>
      </c>
      <c r="J36" s="132">
        <f>'STANY LICZNIKÓW i ZUŻYCIE'!CG18</f>
        <v>10.317</v>
      </c>
      <c r="K36" s="72">
        <f t="shared" si="2"/>
        <v>1061.923293506552</v>
      </c>
      <c r="M36" s="73">
        <f t="shared" si="7"/>
        <v>1901.7053132021572</v>
      </c>
      <c r="N36" s="293">
        <v>174.71</v>
      </c>
      <c r="O36" s="285">
        <v>294.71</v>
      </c>
      <c r="P36" s="206">
        <f t="shared" si="3"/>
        <v>3056.52</v>
      </c>
      <c r="Q36" s="74">
        <f t="shared" si="4"/>
        <v>1154.8146867978428</v>
      </c>
      <c r="S36" s="71">
        <v>14</v>
      </c>
      <c r="T36" s="161">
        <f t="shared" si="5"/>
        <v>190.17</v>
      </c>
    </row>
    <row r="37" spans="1:20" ht="17.25">
      <c r="A37" s="42">
        <v>15</v>
      </c>
      <c r="B37" s="43">
        <v>4448</v>
      </c>
      <c r="C37" s="72">
        <f t="shared" si="8"/>
        <v>112.62866655309207</v>
      </c>
      <c r="E37" s="42">
        <v>15</v>
      </c>
      <c r="F37" s="131">
        <f>'STANY LICZNIKÓW i ZUŻYCIE'!CA19</f>
        <v>32</v>
      </c>
      <c r="G37" s="72">
        <f t="shared" si="6"/>
        <v>1166.421818181818</v>
      </c>
      <c r="I37" s="42">
        <v>15</v>
      </c>
      <c r="J37" s="132">
        <f>'STANY LICZNIKÓW i ZUŻYCIE'!CG19</f>
        <v>0.822000000000001</v>
      </c>
      <c r="K37" s="72">
        <f t="shared" si="2"/>
        <v>84.60802047711417</v>
      </c>
      <c r="M37" s="73">
        <f t="shared" si="7"/>
        <v>1363.6585052120242</v>
      </c>
      <c r="N37" s="287">
        <v>185.54</v>
      </c>
      <c r="O37" s="285">
        <v>163.98</v>
      </c>
      <c r="P37" s="206">
        <f t="shared" si="3"/>
        <v>2054</v>
      </c>
      <c r="Q37" s="74">
        <f t="shared" si="4"/>
        <v>690.3414947879758</v>
      </c>
      <c r="S37" s="71">
        <v>15</v>
      </c>
      <c r="T37" s="161">
        <f t="shared" si="5"/>
        <v>136.37</v>
      </c>
    </row>
    <row r="38" spans="1:20" ht="17.25">
      <c r="A38" s="42">
        <v>16</v>
      </c>
      <c r="B38" s="43">
        <v>6088</v>
      </c>
      <c r="C38" s="72">
        <f t="shared" si="8"/>
        <v>154.15542310594077</v>
      </c>
      <c r="E38" s="42">
        <v>16</v>
      </c>
      <c r="F38" s="131">
        <f>'STANY LICZNIKÓW i ZUŻYCIE'!CA20</f>
        <v>22</v>
      </c>
      <c r="G38" s="72">
        <f t="shared" si="6"/>
        <v>801.9149999999998</v>
      </c>
      <c r="I38" s="42">
        <v>16</v>
      </c>
      <c r="J38" s="132">
        <f>'STANY LICZNIKÓW i ZUŻYCIE'!CG20</f>
        <v>4.158999999999999</v>
      </c>
      <c r="K38" s="72">
        <f t="shared" si="2"/>
        <v>428.08364618530084</v>
      </c>
      <c r="M38" s="73">
        <f t="shared" si="7"/>
        <v>1384.1540692912415</v>
      </c>
      <c r="N38" s="287">
        <v>228.82</v>
      </c>
      <c r="O38" s="285">
        <v>155.7</v>
      </c>
      <c r="P38" s="206">
        <f t="shared" si="3"/>
        <v>2160.88</v>
      </c>
      <c r="Q38" s="74">
        <f t="shared" si="4"/>
        <v>776.7259307087586</v>
      </c>
      <c r="S38" s="71">
        <v>16</v>
      </c>
      <c r="T38" s="161">
        <f t="shared" si="5"/>
        <v>138.42</v>
      </c>
    </row>
    <row r="39" spans="1:20" ht="17.25">
      <c r="A39" s="42">
        <v>17</v>
      </c>
      <c r="B39" s="43">
        <v>2926</v>
      </c>
      <c r="C39" s="72">
        <f t="shared" si="8"/>
        <v>74.08981077660688</v>
      </c>
      <c r="E39" s="42">
        <v>17</v>
      </c>
      <c r="F39" s="131">
        <f>'STANY LICZNIKÓW i ZUŻYCIE'!CA21</f>
        <v>12</v>
      </c>
      <c r="G39" s="72">
        <f t="shared" si="6"/>
        <v>437.4081818181818</v>
      </c>
      <c r="I39" s="42">
        <v>17</v>
      </c>
      <c r="J39" s="132">
        <f>'STANY LICZNIKÓW i ZUŻYCIE'!CG21</f>
        <v>10.611999999999998</v>
      </c>
      <c r="K39" s="72">
        <f t="shared" si="2"/>
        <v>1092.2874857702363</v>
      </c>
      <c r="M39" s="73">
        <f t="shared" si="7"/>
        <v>1603.7854783650248</v>
      </c>
      <c r="N39" s="287">
        <v>154.94</v>
      </c>
      <c r="O39" s="285">
        <v>160.72</v>
      </c>
      <c r="P39" s="206">
        <f t="shared" si="3"/>
        <v>1905.52</v>
      </c>
      <c r="Q39" s="74">
        <f t="shared" si="4"/>
        <v>301.7345216349752</v>
      </c>
      <c r="S39" s="71">
        <v>17</v>
      </c>
      <c r="T39" s="161">
        <f t="shared" si="5"/>
        <v>160.38</v>
      </c>
    </row>
    <row r="40" spans="1:20" ht="17.25">
      <c r="A40" s="42">
        <v>18</v>
      </c>
      <c r="B40" s="43">
        <v>2887</v>
      </c>
      <c r="C40" s="72">
        <f t="shared" si="8"/>
        <v>73.10228424882573</v>
      </c>
      <c r="E40" s="42">
        <v>18</v>
      </c>
      <c r="F40" s="131">
        <f>'STANY LICZNIKÓW i ZUŻYCIE'!CA22</f>
        <v>9</v>
      </c>
      <c r="G40" s="72">
        <f t="shared" si="6"/>
        <v>328.0561363636363</v>
      </c>
      <c r="I40" s="42">
        <v>18</v>
      </c>
      <c r="J40" s="132">
        <f>'STANY LICZNIKÓW i ZUŻYCIE'!CG22</f>
        <v>1.7119999999999997</v>
      </c>
      <c r="K40" s="72">
        <f t="shared" si="2"/>
        <v>176.21524459467062</v>
      </c>
      <c r="M40" s="73">
        <f t="shared" si="7"/>
        <v>577.3736652071327</v>
      </c>
      <c r="N40" s="287">
        <v>55.27</v>
      </c>
      <c r="O40" s="285">
        <v>67.85</v>
      </c>
      <c r="P40" s="206">
        <f t="shared" si="3"/>
        <v>763.88</v>
      </c>
      <c r="Q40" s="74">
        <f t="shared" si="4"/>
        <v>186.50633479286728</v>
      </c>
      <c r="S40" s="71">
        <v>18</v>
      </c>
      <c r="T40" s="161">
        <f t="shared" si="5"/>
        <v>57.74</v>
      </c>
    </row>
    <row r="41" spans="1:20" ht="17.25">
      <c r="A41" s="42">
        <v>19</v>
      </c>
      <c r="B41" s="43">
        <v>2888</v>
      </c>
      <c r="C41" s="72">
        <f t="shared" si="8"/>
        <v>73.12760544184574</v>
      </c>
      <c r="E41" s="42">
        <v>19</v>
      </c>
      <c r="F41" s="131">
        <f>'STANY LICZNIKÓW i ZUŻYCIE'!CA23</f>
        <v>7</v>
      </c>
      <c r="G41" s="72">
        <f t="shared" si="6"/>
        <v>255.1547727272727</v>
      </c>
      <c r="I41" s="42">
        <v>19</v>
      </c>
      <c r="J41" s="132">
        <f>'STANY LICZNIKÓW i ZUŻYCIE'!CG23</f>
        <v>8.487000000000002</v>
      </c>
      <c r="K41" s="72">
        <f t="shared" si="2"/>
        <v>873.5623720064078</v>
      </c>
      <c r="M41" s="73">
        <f t="shared" si="7"/>
        <v>1201.8447501755263</v>
      </c>
      <c r="N41" s="287">
        <v>107.62</v>
      </c>
      <c r="O41" s="285">
        <v>173.5</v>
      </c>
      <c r="P41" s="206">
        <f t="shared" si="3"/>
        <v>1818.48</v>
      </c>
      <c r="Q41" s="74">
        <f t="shared" si="4"/>
        <v>616.6352498244737</v>
      </c>
      <c r="S41" s="71">
        <v>19</v>
      </c>
      <c r="T41" s="161">
        <f t="shared" si="5"/>
        <v>120.18</v>
      </c>
    </row>
    <row r="42" spans="1:20" ht="17.25">
      <c r="A42" s="42">
        <v>20</v>
      </c>
      <c r="B42" s="43">
        <v>4826</v>
      </c>
      <c r="C42" s="72">
        <f t="shared" si="8"/>
        <v>122.20007751466329</v>
      </c>
      <c r="E42" s="42">
        <v>20</v>
      </c>
      <c r="F42" s="131">
        <f>'STANY LICZNIKÓW i ZUŻYCIE'!CA24</f>
        <v>17</v>
      </c>
      <c r="G42" s="72">
        <f t="shared" si="6"/>
        <v>619.6615909090908</v>
      </c>
      <c r="I42" s="42">
        <v>20</v>
      </c>
      <c r="J42" s="132">
        <f>'STANY LICZNIKÓW i ZUŻYCIE'!CG24</f>
        <v>5.116</v>
      </c>
      <c r="K42" s="72">
        <f t="shared" si="2"/>
        <v>526.5871444779995</v>
      </c>
      <c r="M42" s="73">
        <f t="shared" si="7"/>
        <v>1268.4488129017534</v>
      </c>
      <c r="N42" s="287">
        <v>152.71</v>
      </c>
      <c r="O42" s="285">
        <v>154.41</v>
      </c>
      <c r="P42" s="206">
        <f t="shared" si="3"/>
        <v>1846.12</v>
      </c>
      <c r="Q42" s="74">
        <f t="shared" si="4"/>
        <v>577.6711870982465</v>
      </c>
      <c r="S42" s="71">
        <v>20</v>
      </c>
      <c r="T42" s="161">
        <f t="shared" si="5"/>
        <v>126.84</v>
      </c>
    </row>
    <row r="43" spans="1:20" ht="17.25">
      <c r="A43" s="42">
        <v>21</v>
      </c>
      <c r="B43" s="43">
        <v>2879</v>
      </c>
      <c r="C43" s="72">
        <f t="shared" si="8"/>
        <v>72.89971470466548</v>
      </c>
      <c r="E43" s="42">
        <v>21</v>
      </c>
      <c r="F43" s="131">
        <f>'STANY LICZNIKÓW i ZUŻYCIE'!CA25</f>
        <v>33</v>
      </c>
      <c r="G43" s="72">
        <f t="shared" si="6"/>
        <v>1202.8725</v>
      </c>
      <c r="I43" s="42">
        <v>21</v>
      </c>
      <c r="J43" s="132">
        <f>'STANY LICZNIKÓW i ZUŻYCIE'!CG25</f>
        <v>11.814999999999998</v>
      </c>
      <c r="K43" s="72">
        <f t="shared" si="2"/>
        <v>1216.1116325268886</v>
      </c>
      <c r="M43" s="73">
        <f t="shared" si="7"/>
        <v>2491.883847231554</v>
      </c>
      <c r="N43" s="287">
        <v>224.56</v>
      </c>
      <c r="O43" s="285">
        <v>295.31</v>
      </c>
      <c r="P43" s="206">
        <f t="shared" si="3"/>
        <v>3260.7200000000003</v>
      </c>
      <c r="Q43" s="74">
        <f t="shared" si="4"/>
        <v>768.8361527684465</v>
      </c>
      <c r="S43" s="71">
        <v>21</v>
      </c>
      <c r="T43" s="161">
        <f t="shared" si="5"/>
        <v>249.19</v>
      </c>
    </row>
    <row r="44" spans="1:20" ht="17.25">
      <c r="A44" s="42">
        <v>22</v>
      </c>
      <c r="B44" s="43">
        <v>4433</v>
      </c>
      <c r="C44" s="72">
        <f t="shared" si="8"/>
        <v>112.24884865779163</v>
      </c>
      <c r="E44" s="42">
        <v>22</v>
      </c>
      <c r="F44" s="131">
        <f>'STANY LICZNIKÓW i ZUŻYCIE'!CA26</f>
        <v>22</v>
      </c>
      <c r="G44" s="72">
        <f t="shared" si="6"/>
        <v>801.9149999999998</v>
      </c>
      <c r="I44" s="42">
        <v>22</v>
      </c>
      <c r="J44" s="132">
        <f>'STANY LICZNIKÓW i ZUŻYCIE'!CG26</f>
        <v>14.527999999999999</v>
      </c>
      <c r="K44" s="72">
        <f t="shared" si="2"/>
        <v>1495.3592718874854</v>
      </c>
      <c r="M44" s="73">
        <f t="shared" si="7"/>
        <v>2409.523120545277</v>
      </c>
      <c r="N44" s="288">
        <v>119.1</v>
      </c>
      <c r="O44" s="285">
        <v>301.46</v>
      </c>
      <c r="P44" s="206">
        <f t="shared" si="3"/>
        <v>2888.08</v>
      </c>
      <c r="Q44" s="74">
        <f t="shared" si="4"/>
        <v>478.556879454723</v>
      </c>
      <c r="S44" s="71">
        <v>22</v>
      </c>
      <c r="T44" s="161">
        <f t="shared" si="5"/>
        <v>240.95</v>
      </c>
    </row>
    <row r="45" spans="1:20" ht="17.25">
      <c r="A45" s="42">
        <v>23</v>
      </c>
      <c r="B45" s="43">
        <v>6072</v>
      </c>
      <c r="C45" s="72">
        <f t="shared" si="8"/>
        <v>153.7502840176203</v>
      </c>
      <c r="E45" s="42">
        <v>23</v>
      </c>
      <c r="F45" s="131">
        <f>'STANY LICZNIKÓW i ZUŻYCIE'!CA27</f>
        <v>20</v>
      </c>
      <c r="G45" s="72">
        <f t="shared" si="6"/>
        <v>729.0136363636362</v>
      </c>
      <c r="I45" s="42">
        <v>23</v>
      </c>
      <c r="J45" s="132">
        <f>'STANY LICZNIKÓW i ZUŻYCIE'!CG27</f>
        <v>18.425999999999995</v>
      </c>
      <c r="K45" s="72">
        <f t="shared" si="2"/>
        <v>1896.5783276293228</v>
      </c>
      <c r="M45" s="73">
        <f t="shared" si="7"/>
        <v>2779.342248010579</v>
      </c>
      <c r="N45" s="287">
        <v>226.8</v>
      </c>
      <c r="O45" s="285">
        <v>325.79</v>
      </c>
      <c r="P45" s="206">
        <f t="shared" si="3"/>
        <v>3513.5200000000004</v>
      </c>
      <c r="Q45" s="74">
        <f t="shared" si="4"/>
        <v>734.1777519894213</v>
      </c>
      <c r="S45" s="71">
        <v>23</v>
      </c>
      <c r="T45" s="161">
        <f t="shared" si="5"/>
        <v>277.93</v>
      </c>
    </row>
    <row r="46" spans="1:20" ht="17.25">
      <c r="A46" s="42">
        <v>24</v>
      </c>
      <c r="B46" s="43">
        <v>2911</v>
      </c>
      <c r="C46" s="72">
        <f t="shared" si="8"/>
        <v>73.70999288130643</v>
      </c>
      <c r="E46" s="42">
        <v>24</v>
      </c>
      <c r="F46" s="131">
        <f>'STANY LICZNIKÓW i ZUŻYCIE'!CA28</f>
        <v>3</v>
      </c>
      <c r="G46" s="72">
        <f t="shared" si="6"/>
        <v>109.35204545454545</v>
      </c>
      <c r="I46" s="42">
        <v>24</v>
      </c>
      <c r="J46" s="132">
        <f>'STANY LICZNIKÓW i ZUŻYCIE'!CG28</f>
        <v>10.869999999999997</v>
      </c>
      <c r="K46" s="72">
        <f t="shared" si="2"/>
        <v>1118.8432878177975</v>
      </c>
      <c r="M46" s="73">
        <f t="shared" si="7"/>
        <v>1301.9053261536494</v>
      </c>
      <c r="N46" s="287">
        <v>190.97</v>
      </c>
      <c r="O46" s="285">
        <v>154.72</v>
      </c>
      <c r="P46" s="206">
        <f t="shared" si="3"/>
        <v>2001.6399999999999</v>
      </c>
      <c r="Q46" s="74">
        <f t="shared" si="4"/>
        <v>699.7346738463505</v>
      </c>
      <c r="S46" s="71">
        <v>24</v>
      </c>
      <c r="T46" s="161">
        <f t="shared" si="5"/>
        <v>130.19</v>
      </c>
    </row>
    <row r="47" spans="1:20" ht="17.25">
      <c r="A47" s="42">
        <v>25</v>
      </c>
      <c r="B47" s="43">
        <v>2879</v>
      </c>
      <c r="C47" s="72">
        <f t="shared" si="8"/>
        <v>72.89971470466548</v>
      </c>
      <c r="E47" s="42">
        <v>25</v>
      </c>
      <c r="F47" s="131">
        <f>'STANY LICZNIKÓW i ZUŻYCIE'!CA29</f>
        <v>15</v>
      </c>
      <c r="G47" s="72">
        <f t="shared" si="6"/>
        <v>546.7602272727272</v>
      </c>
      <c r="I47" s="42">
        <v>25</v>
      </c>
      <c r="J47" s="132">
        <f>'STANY LICZNIKÓW i ZUŻYCIE'!CG29</f>
        <v>4.804999999999998</v>
      </c>
      <c r="K47" s="72">
        <f t="shared" si="2"/>
        <v>494.57608076950476</v>
      </c>
      <c r="M47" s="73">
        <f t="shared" si="7"/>
        <v>1114.2360227468973</v>
      </c>
      <c r="N47" s="287">
        <v>99.82</v>
      </c>
      <c r="O47" s="285">
        <v>128.93</v>
      </c>
      <c r="P47" s="206">
        <f t="shared" si="3"/>
        <v>1430.72</v>
      </c>
      <c r="Q47" s="74">
        <f t="shared" si="4"/>
        <v>316.4839772531027</v>
      </c>
      <c r="S47" s="71">
        <v>25</v>
      </c>
      <c r="T47" s="161">
        <f t="shared" si="5"/>
        <v>111.42</v>
      </c>
    </row>
    <row r="48" spans="1:20" ht="17.25">
      <c r="A48" s="42">
        <v>26</v>
      </c>
      <c r="B48" s="43">
        <v>2898</v>
      </c>
      <c r="C48" s="72">
        <f t="shared" si="8"/>
        <v>73.38081737204605</v>
      </c>
      <c r="E48" s="42">
        <v>26</v>
      </c>
      <c r="F48" s="131">
        <f>'STANY LICZNIKÓW i ZUŻYCIE'!CA30</f>
        <v>36</v>
      </c>
      <c r="G48" s="72">
        <f t="shared" si="6"/>
        <v>1312.2245454545453</v>
      </c>
      <c r="I48" s="42">
        <v>26</v>
      </c>
      <c r="J48" s="132">
        <f>'STANY LICZNIKÓW i ZUŻYCIE'!CG30</f>
        <v>3.206999999999999</v>
      </c>
      <c r="K48" s="72">
        <f t="shared" si="2"/>
        <v>330.0947952191055</v>
      </c>
      <c r="M48" s="73">
        <f t="shared" si="7"/>
        <v>1715.7001580456968</v>
      </c>
      <c r="N48" s="287">
        <v>161.59</v>
      </c>
      <c r="O48" s="285">
        <v>235.11</v>
      </c>
      <c r="P48" s="206">
        <f t="shared" si="3"/>
        <v>2527.2400000000002</v>
      </c>
      <c r="Q48" s="74">
        <f t="shared" si="4"/>
        <v>811.5398419543035</v>
      </c>
      <c r="S48" s="71">
        <v>26</v>
      </c>
      <c r="T48" s="161">
        <f t="shared" si="5"/>
        <v>171.57</v>
      </c>
    </row>
    <row r="49" spans="1:20" ht="17.25">
      <c r="A49" s="42">
        <v>27</v>
      </c>
      <c r="B49" s="43">
        <v>4826</v>
      </c>
      <c r="C49" s="72">
        <f t="shared" si="8"/>
        <v>122.20007751466329</v>
      </c>
      <c r="E49" s="42">
        <v>27</v>
      </c>
      <c r="F49" s="131">
        <f>'STANY LICZNIKÓW i ZUŻYCIE'!CA31</f>
        <v>27</v>
      </c>
      <c r="G49" s="72">
        <f t="shared" si="6"/>
        <v>984.168409090909</v>
      </c>
      <c r="I49" s="42">
        <v>27</v>
      </c>
      <c r="J49" s="132">
        <f>'STANY LICZNIKÓW i ZUŻYCIE'!CG31</f>
        <v>16.397999999999996</v>
      </c>
      <c r="K49" s="72">
        <f t="shared" si="2"/>
        <v>1687.8373719996546</v>
      </c>
      <c r="M49" s="73">
        <f t="shared" si="7"/>
        <v>2794.205858605227</v>
      </c>
      <c r="N49" s="287">
        <v>357.66</v>
      </c>
      <c r="O49" s="285">
        <v>392.31</v>
      </c>
      <c r="P49" s="206">
        <f t="shared" si="3"/>
        <v>4569.12</v>
      </c>
      <c r="Q49" s="74">
        <f t="shared" si="4"/>
        <v>1774.9141413947727</v>
      </c>
      <c r="S49" s="71">
        <v>27</v>
      </c>
      <c r="T49" s="161">
        <f t="shared" si="5"/>
        <v>279.42</v>
      </c>
    </row>
    <row r="50" spans="1:20" ht="17.25">
      <c r="A50" s="42">
        <v>28</v>
      </c>
      <c r="B50" s="43">
        <v>2895</v>
      </c>
      <c r="C50" s="72">
        <f t="shared" si="8"/>
        <v>73.30485379298595</v>
      </c>
      <c r="E50" s="42">
        <v>28</v>
      </c>
      <c r="F50" s="131">
        <f>'STANY LICZNIKÓW i ZUŻYCIE'!CA32</f>
        <v>7</v>
      </c>
      <c r="G50" s="72">
        <f t="shared" si="6"/>
        <v>255.1547727272727</v>
      </c>
      <c r="I50" s="42">
        <v>28</v>
      </c>
      <c r="J50" s="132">
        <f>'STANY LICZNIKÓW i ZUŻYCIE'!CG32</f>
        <v>5.082000000000001</v>
      </c>
      <c r="K50" s="72">
        <f t="shared" si="2"/>
        <v>523.0875426577783</v>
      </c>
      <c r="M50" s="290">
        <f t="shared" si="7"/>
        <v>851.5471691780368</v>
      </c>
      <c r="N50" s="287">
        <v>174.58</v>
      </c>
      <c r="O50" s="285">
        <v>122.92</v>
      </c>
      <c r="P50" s="206">
        <f t="shared" si="3"/>
        <v>1681.68</v>
      </c>
      <c r="Q50" s="74">
        <f t="shared" si="4"/>
        <v>830.1328308219632</v>
      </c>
      <c r="S50" s="71">
        <v>28</v>
      </c>
      <c r="T50" s="161">
        <f t="shared" si="5"/>
        <v>85.15</v>
      </c>
    </row>
    <row r="51" spans="1:20" ht="17.25">
      <c r="A51" s="42">
        <v>29</v>
      </c>
      <c r="B51" s="43">
        <v>3354</v>
      </c>
      <c r="C51" s="72">
        <f t="shared" si="8"/>
        <v>84.92728138917958</v>
      </c>
      <c r="E51" s="42">
        <v>29</v>
      </c>
      <c r="F51" s="131">
        <f>'STANY LICZNIKÓW i ZUŻYCIE'!CA33</f>
        <v>41</v>
      </c>
      <c r="G51" s="72">
        <f t="shared" si="6"/>
        <v>1494.4779545454544</v>
      </c>
      <c r="I51" s="42">
        <v>29</v>
      </c>
      <c r="J51" s="132">
        <f>'STANY LICZNIKÓW i ZUŻYCIE'!CG33</f>
        <v>9.080000000000002</v>
      </c>
      <c r="K51" s="72">
        <f t="shared" si="2"/>
        <v>934.5995449296787</v>
      </c>
      <c r="M51" s="292">
        <f t="shared" si="7"/>
        <v>2514.0047808643126</v>
      </c>
      <c r="N51" s="289">
        <v>203.98</v>
      </c>
      <c r="O51" s="285">
        <v>296.85</v>
      </c>
      <c r="P51" s="206">
        <f t="shared" si="3"/>
        <v>3190.7200000000003</v>
      </c>
      <c r="Q51" s="74">
        <f t="shared" si="4"/>
        <v>676.7152191356877</v>
      </c>
      <c r="S51" s="71">
        <v>29</v>
      </c>
      <c r="T51" s="161">
        <f t="shared" si="5"/>
        <v>251.4</v>
      </c>
    </row>
    <row r="52" spans="1:20" ht="17.25">
      <c r="A52" s="42">
        <v>30</v>
      </c>
      <c r="B52" s="240">
        <v>5118</v>
      </c>
      <c r="C52" s="72">
        <f t="shared" si="8"/>
        <v>129.59386587651196</v>
      </c>
      <c r="E52" s="42">
        <v>30</v>
      </c>
      <c r="F52" s="131">
        <f>'STANY LICZNIKÓW i ZUŻYCIE'!CA34</f>
        <v>11</v>
      </c>
      <c r="G52" s="72">
        <f t="shared" si="6"/>
        <v>400.9574999999999</v>
      </c>
      <c r="I52" s="42">
        <v>30</v>
      </c>
      <c r="J52" s="132">
        <f>'STANY LICZNIKÓW i ZUŻYCIE'!CG34</f>
        <v>2.344000000000001</v>
      </c>
      <c r="K52" s="72">
        <f t="shared" si="2"/>
        <v>241.26666666466602</v>
      </c>
      <c r="M52" s="291">
        <f t="shared" si="7"/>
        <v>771.8180325411779</v>
      </c>
      <c r="N52" s="287">
        <v>221.76</v>
      </c>
      <c r="O52" s="286">
        <v>96.9</v>
      </c>
      <c r="P52" s="206">
        <f t="shared" si="3"/>
        <v>1662.24</v>
      </c>
      <c r="Q52" s="74">
        <f t="shared" si="4"/>
        <v>890.4219674588221</v>
      </c>
      <c r="S52" s="71">
        <v>30</v>
      </c>
      <c r="T52" s="161">
        <f t="shared" si="5"/>
        <v>77.18</v>
      </c>
    </row>
    <row r="53" spans="1:20" ht="17.25">
      <c r="A53" s="42">
        <v>31</v>
      </c>
      <c r="B53" s="75">
        <v>4239</v>
      </c>
      <c r="C53" s="72">
        <f t="shared" si="8"/>
        <v>107.33653721190586</v>
      </c>
      <c r="E53" s="42">
        <v>31</v>
      </c>
      <c r="F53" s="131">
        <f>'STANY LICZNIKÓW i ZUŻYCIE'!CA35</f>
        <v>26</v>
      </c>
      <c r="G53" s="72">
        <f t="shared" si="6"/>
        <v>947.7177272727272</v>
      </c>
      <c r="I53" s="42">
        <v>31</v>
      </c>
      <c r="J53" s="132">
        <f>'STANY LICZNIKÓW i ZUŻYCIE'!CG35</f>
        <v>12.915</v>
      </c>
      <c r="K53" s="72">
        <f t="shared" si="2"/>
        <v>1329.3340443575767</v>
      </c>
      <c r="M53" s="73">
        <f t="shared" si="7"/>
        <v>2384.38830884221</v>
      </c>
      <c r="N53" s="287">
        <v>203.78</v>
      </c>
      <c r="O53" s="285">
        <v>305.93</v>
      </c>
      <c r="P53" s="206">
        <f t="shared" si="3"/>
        <v>3262.56</v>
      </c>
      <c r="Q53" s="74">
        <f t="shared" si="4"/>
        <v>878.1716911577901</v>
      </c>
      <c r="S53" s="71">
        <v>31</v>
      </c>
      <c r="T53" s="161">
        <f t="shared" si="5"/>
        <v>238.44</v>
      </c>
    </row>
    <row r="54" spans="2:11" ht="15">
      <c r="B54" s="75"/>
      <c r="C54" s="72"/>
      <c r="F54" s="75"/>
      <c r="G54" s="72"/>
      <c r="J54" s="75"/>
      <c r="K54" s="72"/>
    </row>
    <row r="55" spans="1:21" s="76" customFormat="1" ht="15">
      <c r="A55" s="76" t="s">
        <v>41</v>
      </c>
      <c r="B55" s="76">
        <f>SUM(B23:B53)</f>
        <v>123267</v>
      </c>
      <c r="C55" s="77">
        <f>SUM(C23:C53)</f>
        <v>3121.2675000000004</v>
      </c>
      <c r="D55" s="78"/>
      <c r="F55" s="76">
        <f>SUM(F23:F53)</f>
        <v>664</v>
      </c>
      <c r="G55" s="77">
        <f>SUM(G23:G53)</f>
        <v>24203.252727272727</v>
      </c>
      <c r="H55" s="78"/>
      <c r="J55" s="76">
        <f>SUM(J23:J53)</f>
        <v>266.561</v>
      </c>
      <c r="K55" s="77">
        <f>SUM(K23:K53)</f>
        <v>27436.981200000002</v>
      </c>
      <c r="L55" s="78"/>
      <c r="M55" s="79">
        <f>SUM(M23:M54)</f>
        <v>54761.50142727274</v>
      </c>
      <c r="N55" s="205">
        <f>SUM(N23:N54)</f>
        <v>5407.23</v>
      </c>
      <c r="O55" s="205">
        <f>SUM(O23:O54)</f>
        <v>6367.639999999999</v>
      </c>
      <c r="P55" s="208">
        <f>SUM(P23:P54)</f>
        <v>72570.04</v>
      </c>
      <c r="Q55" s="80">
        <f>SUM(Q23:Q54)</f>
        <v>17808.538572727277</v>
      </c>
      <c r="R55" s="80"/>
      <c r="S55" s="80"/>
      <c r="T55" s="198">
        <f>SUM(T23:T54)</f>
        <v>5476.149999999998</v>
      </c>
      <c r="U55" s="198"/>
    </row>
    <row r="56" spans="13:21" ht="15">
      <c r="M56" s="82"/>
      <c r="Q56" s="212">
        <f>P55-M55</f>
        <v>17808.53857272725</v>
      </c>
      <c r="R56" s="222" t="s">
        <v>96</v>
      </c>
      <c r="T56" s="224"/>
      <c r="U56" s="224"/>
    </row>
    <row r="57" spans="13:21" ht="15">
      <c r="M57" s="81"/>
      <c r="P57" s="209"/>
      <c r="T57" s="224"/>
      <c r="U57" s="224"/>
    </row>
    <row r="58" spans="13:21" ht="15">
      <c r="M58" s="82"/>
      <c r="Q58" s="196"/>
      <c r="T58" s="225"/>
      <c r="U58" s="225"/>
    </row>
    <row r="59" spans="20:21" ht="15">
      <c r="T59" s="223"/>
      <c r="U59" s="223"/>
    </row>
    <row r="60" spans="13:21" ht="15">
      <c r="M60" s="210"/>
      <c r="T60" s="223"/>
      <c r="U60" s="223"/>
    </row>
    <row r="61" spans="13:21" ht="15">
      <c r="M61" s="211"/>
      <c r="T61" s="197"/>
      <c r="U61" s="197"/>
    </row>
  </sheetData>
  <sheetProtection selectLockedCells="1" selectUnlockedCells="1"/>
  <mergeCells count="12">
    <mergeCell ref="C21:C22"/>
    <mergeCell ref="G21:G22"/>
    <mergeCell ref="K21:K22"/>
    <mergeCell ref="A1:C2"/>
    <mergeCell ref="E1:G2"/>
    <mergeCell ref="I1:K2"/>
    <mergeCell ref="M1:M22"/>
    <mergeCell ref="N1:N22"/>
    <mergeCell ref="T1:T22"/>
    <mergeCell ref="P1:P22"/>
    <mergeCell ref="Q1:Q22"/>
    <mergeCell ref="O1:O22"/>
  </mergeCells>
  <conditionalFormatting sqref="Q23:Q53">
    <cfRule type="cellIs" priority="1" dxfId="7" operator="lessThan" stopIfTrue="1">
      <formula>0</formula>
    </cfRule>
    <cfRule type="cellIs" priority="2" dxfId="8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51"/>
  <sheetViews>
    <sheetView zoomScale="85" zoomScaleNormal="85" zoomScalePageLayoutView="0" workbookViewId="0" topLeftCell="C23">
      <selection activeCell="M47" sqref="M47"/>
    </sheetView>
  </sheetViews>
  <sheetFormatPr defaultColWidth="8.796875" defaultRowHeight="14.25"/>
  <cols>
    <col min="2" max="2" width="10.5" style="0" customWidth="1"/>
    <col min="3" max="3" width="9.69921875" style="0" customWidth="1"/>
    <col min="4" max="4" width="11.69921875" style="0" customWidth="1"/>
    <col min="5" max="5" width="17.09765625" style="0" customWidth="1"/>
    <col min="6" max="6" width="18.3984375" style="0" customWidth="1"/>
    <col min="7" max="7" width="2.09765625" style="83" customWidth="1"/>
    <col min="8" max="8" width="3.09765625" style="84" customWidth="1"/>
    <col min="10" max="10" width="13" style="0" customWidth="1"/>
    <col min="11" max="11" width="11.09765625" style="0" customWidth="1"/>
    <col min="12" max="12" width="16.19921875" style="0" customWidth="1"/>
    <col min="13" max="13" width="20.19921875" style="0" customWidth="1"/>
    <col min="17" max="17" width="11.5" style="0" customWidth="1"/>
    <col min="18" max="18" width="11.3984375" style="0" customWidth="1"/>
    <col min="19" max="22" width="10.69921875" style="0" customWidth="1"/>
    <col min="23" max="23" width="26.19921875" style="0" customWidth="1"/>
  </cols>
  <sheetData>
    <row r="2" spans="2:22" ht="51">
      <c r="B2" s="85" t="s">
        <v>42</v>
      </c>
      <c r="C2" s="85" t="s">
        <v>43</v>
      </c>
      <c r="D2" s="86" t="s">
        <v>44</v>
      </c>
      <c r="E2" s="87" t="s">
        <v>45</v>
      </c>
      <c r="I2" s="85" t="s">
        <v>43</v>
      </c>
      <c r="J2" s="85" t="s">
        <v>46</v>
      </c>
      <c r="K2" s="86" t="s">
        <v>47</v>
      </c>
      <c r="L2" s="87" t="s">
        <v>48</v>
      </c>
      <c r="O2" s="85" t="s">
        <v>49</v>
      </c>
      <c r="P2" s="85" t="s">
        <v>50</v>
      </c>
      <c r="Q2" s="86" t="s">
        <v>51</v>
      </c>
      <c r="R2" s="86"/>
      <c r="S2" s="86"/>
      <c r="T2" s="86"/>
      <c r="U2" s="86"/>
      <c r="V2" s="86"/>
    </row>
    <row r="3" spans="2:22" ht="14.25">
      <c r="B3" s="88">
        <v>1</v>
      </c>
      <c r="C3" s="89">
        <v>1</v>
      </c>
      <c r="D3" s="90">
        <f aca="true" t="shared" si="0" ref="D3:D33">C3-B3</f>
        <v>0</v>
      </c>
      <c r="E3" s="91">
        <f aca="true" t="shared" si="1" ref="E3:E33">D3*12.52</f>
        <v>0</v>
      </c>
      <c r="I3" s="89">
        <v>1</v>
      </c>
      <c r="J3" s="88">
        <v>1</v>
      </c>
      <c r="K3" s="90">
        <f aca="true" t="shared" si="2" ref="K3:K33">J3-I3</f>
        <v>0</v>
      </c>
      <c r="L3" s="91">
        <f aca="true" t="shared" si="3" ref="L3:L33">K3*15.38</f>
        <v>0</v>
      </c>
      <c r="O3" s="92">
        <v>30.9</v>
      </c>
      <c r="P3" s="92">
        <v>48.72</v>
      </c>
      <c r="Q3" s="93">
        <f aca="true" t="shared" si="4" ref="Q3:Q33">P3-O3</f>
        <v>17.82</v>
      </c>
      <c r="R3" s="93">
        <f aca="true" t="shared" si="5" ref="R3:R33">Q3*63.34</f>
        <v>1128.7188</v>
      </c>
      <c r="S3" s="93"/>
      <c r="T3" s="93">
        <f aca="true" t="shared" si="6" ref="T3:T33">R3+L3+E3</f>
        <v>1128.7188</v>
      </c>
      <c r="U3" s="93"/>
      <c r="V3" s="93"/>
    </row>
    <row r="4" spans="2:22" ht="14.25">
      <c r="B4" s="88">
        <v>1</v>
      </c>
      <c r="C4" s="89">
        <v>11</v>
      </c>
      <c r="D4" s="90">
        <f t="shared" si="0"/>
        <v>10</v>
      </c>
      <c r="E4" s="91">
        <f t="shared" si="1"/>
        <v>125.19999999999999</v>
      </c>
      <c r="I4" s="89">
        <v>11</v>
      </c>
      <c r="J4" s="88">
        <v>20</v>
      </c>
      <c r="K4" s="90">
        <f t="shared" si="2"/>
        <v>9</v>
      </c>
      <c r="L4" s="91">
        <f t="shared" si="3"/>
        <v>138.42000000000002</v>
      </c>
      <c r="O4" s="92">
        <v>26.75</v>
      </c>
      <c r="P4" s="92">
        <v>41.96</v>
      </c>
      <c r="Q4" s="93">
        <f t="shared" si="4"/>
        <v>15.21</v>
      </c>
      <c r="R4" s="93">
        <f t="shared" si="5"/>
        <v>963.4014000000001</v>
      </c>
      <c r="S4" s="93"/>
      <c r="T4" s="93">
        <f t="shared" si="6"/>
        <v>1227.0214</v>
      </c>
      <c r="U4" s="93"/>
      <c r="V4" s="93"/>
    </row>
    <row r="5" spans="2:22" ht="14.25">
      <c r="B5" s="94">
        <v>7</v>
      </c>
      <c r="C5" s="94">
        <v>12</v>
      </c>
      <c r="D5" s="90">
        <f t="shared" si="0"/>
        <v>5</v>
      </c>
      <c r="E5" s="91">
        <f t="shared" si="1"/>
        <v>62.599999999999994</v>
      </c>
      <c r="I5" s="94">
        <v>12</v>
      </c>
      <c r="J5" s="89">
        <v>23</v>
      </c>
      <c r="K5" s="90">
        <f t="shared" si="2"/>
        <v>11</v>
      </c>
      <c r="L5" s="91">
        <f t="shared" si="3"/>
        <v>169.18</v>
      </c>
      <c r="O5" s="92">
        <v>26.11</v>
      </c>
      <c r="P5" s="92">
        <v>29.05</v>
      </c>
      <c r="Q5" s="93">
        <f t="shared" si="4"/>
        <v>2.9400000000000013</v>
      </c>
      <c r="R5" s="93">
        <f t="shared" si="5"/>
        <v>186.2196000000001</v>
      </c>
      <c r="S5" s="93"/>
      <c r="T5" s="93">
        <f t="shared" si="6"/>
        <v>417.9996000000001</v>
      </c>
      <c r="U5" s="93"/>
      <c r="V5" s="93"/>
    </row>
    <row r="6" spans="2:22" ht="14.25">
      <c r="B6" s="95">
        <v>0</v>
      </c>
      <c r="C6" s="89">
        <v>3</v>
      </c>
      <c r="D6" s="90">
        <f t="shared" si="0"/>
        <v>3</v>
      </c>
      <c r="E6" s="91">
        <f t="shared" si="1"/>
        <v>37.56</v>
      </c>
      <c r="I6" s="89">
        <v>3</v>
      </c>
      <c r="J6" s="89">
        <v>29</v>
      </c>
      <c r="K6" s="90">
        <f t="shared" si="2"/>
        <v>26</v>
      </c>
      <c r="L6" s="91">
        <f t="shared" si="3"/>
        <v>399.88</v>
      </c>
      <c r="O6" s="92">
        <v>24.78</v>
      </c>
      <c r="P6" s="92">
        <v>38.89</v>
      </c>
      <c r="Q6" s="93">
        <f t="shared" si="4"/>
        <v>14.11</v>
      </c>
      <c r="R6" s="93">
        <f t="shared" si="5"/>
        <v>893.7274</v>
      </c>
      <c r="S6" s="93"/>
      <c r="T6" s="93">
        <f t="shared" si="6"/>
        <v>1331.1673999999998</v>
      </c>
      <c r="U6" s="93"/>
      <c r="V6" s="93"/>
    </row>
    <row r="7" spans="2:22" ht="14.25">
      <c r="B7" s="94">
        <v>69</v>
      </c>
      <c r="C7" s="94">
        <v>92</v>
      </c>
      <c r="D7" s="90">
        <f t="shared" si="0"/>
        <v>23</v>
      </c>
      <c r="E7" s="91">
        <f t="shared" si="1"/>
        <v>287.96</v>
      </c>
      <c r="I7" s="94">
        <v>92</v>
      </c>
      <c r="J7" s="88">
        <v>112</v>
      </c>
      <c r="K7" s="90">
        <f t="shared" si="2"/>
        <v>20</v>
      </c>
      <c r="L7" s="91">
        <f t="shared" si="3"/>
        <v>307.6</v>
      </c>
      <c r="O7" s="92">
        <v>24.37</v>
      </c>
      <c r="P7" s="92">
        <v>40.82</v>
      </c>
      <c r="Q7" s="93">
        <f t="shared" si="4"/>
        <v>16.45</v>
      </c>
      <c r="R7" s="93">
        <f t="shared" si="5"/>
        <v>1041.943</v>
      </c>
      <c r="S7" s="93"/>
      <c r="T7" s="93">
        <f t="shared" si="6"/>
        <v>1637.5030000000002</v>
      </c>
      <c r="U7" s="93"/>
      <c r="V7" s="93"/>
    </row>
    <row r="8" spans="2:22" ht="14.25">
      <c r="B8" s="94">
        <v>24</v>
      </c>
      <c r="C8" s="89">
        <v>29</v>
      </c>
      <c r="D8" s="90">
        <f t="shared" si="0"/>
        <v>5</v>
      </c>
      <c r="E8" s="91">
        <f t="shared" si="1"/>
        <v>62.599999999999994</v>
      </c>
      <c r="I8" s="89">
        <v>29</v>
      </c>
      <c r="J8" s="89">
        <v>32</v>
      </c>
      <c r="K8" s="90">
        <f t="shared" si="2"/>
        <v>3</v>
      </c>
      <c r="L8" s="91">
        <f t="shared" si="3"/>
        <v>46.14</v>
      </c>
      <c r="O8" s="92">
        <v>18.1</v>
      </c>
      <c r="P8" s="92">
        <v>25.71</v>
      </c>
      <c r="Q8" s="93">
        <f t="shared" si="4"/>
        <v>7.609999999999999</v>
      </c>
      <c r="R8" s="93">
        <f t="shared" si="5"/>
        <v>482.0174</v>
      </c>
      <c r="S8" s="93"/>
      <c r="T8" s="93">
        <f t="shared" si="6"/>
        <v>590.7574000000001</v>
      </c>
      <c r="U8" s="93"/>
      <c r="V8" s="93"/>
    </row>
    <row r="9" spans="2:22" ht="14.25">
      <c r="B9" s="94">
        <v>23</v>
      </c>
      <c r="C9" s="94">
        <v>38</v>
      </c>
      <c r="D9" s="90">
        <f t="shared" si="0"/>
        <v>15</v>
      </c>
      <c r="E9" s="91">
        <f t="shared" si="1"/>
        <v>187.79999999999998</v>
      </c>
      <c r="I9" s="94">
        <v>38</v>
      </c>
      <c r="J9" s="88">
        <v>45</v>
      </c>
      <c r="K9" s="90">
        <f t="shared" si="2"/>
        <v>7</v>
      </c>
      <c r="L9" s="91">
        <f t="shared" si="3"/>
        <v>107.66000000000001</v>
      </c>
      <c r="O9" s="92">
        <v>33.17</v>
      </c>
      <c r="P9" s="92">
        <v>48.22</v>
      </c>
      <c r="Q9" s="93">
        <f t="shared" si="4"/>
        <v>15.049999999999997</v>
      </c>
      <c r="R9" s="93">
        <f t="shared" si="5"/>
        <v>953.2669999999998</v>
      </c>
      <c r="S9" s="93"/>
      <c r="T9" s="93">
        <f t="shared" si="6"/>
        <v>1248.7269999999999</v>
      </c>
      <c r="U9" s="93"/>
      <c r="V9" s="93"/>
    </row>
    <row r="10" spans="2:22" ht="14.25">
      <c r="B10" s="88">
        <v>1</v>
      </c>
      <c r="C10" s="94">
        <v>4</v>
      </c>
      <c r="D10" s="90">
        <f t="shared" si="0"/>
        <v>3</v>
      </c>
      <c r="E10" s="91">
        <f t="shared" si="1"/>
        <v>37.56</v>
      </c>
      <c r="I10" s="94">
        <v>4</v>
      </c>
      <c r="J10" s="89">
        <v>4</v>
      </c>
      <c r="K10" s="90">
        <f t="shared" si="2"/>
        <v>0</v>
      </c>
      <c r="L10" s="91">
        <f t="shared" si="3"/>
        <v>0</v>
      </c>
      <c r="O10" s="92">
        <v>12.79</v>
      </c>
      <c r="P10" s="92">
        <v>20.26</v>
      </c>
      <c r="Q10" s="93">
        <f t="shared" si="4"/>
        <v>7.470000000000002</v>
      </c>
      <c r="R10" s="93">
        <f t="shared" si="5"/>
        <v>473.1498000000002</v>
      </c>
      <c r="S10" s="93"/>
      <c r="T10" s="93">
        <f t="shared" si="6"/>
        <v>510.7098000000002</v>
      </c>
      <c r="U10" s="93"/>
      <c r="V10" s="93"/>
    </row>
    <row r="11" spans="2:22" ht="14.25">
      <c r="B11" s="94">
        <v>29</v>
      </c>
      <c r="C11" s="89">
        <v>30</v>
      </c>
      <c r="D11" s="90">
        <f t="shared" si="0"/>
        <v>1</v>
      </c>
      <c r="E11" s="91">
        <f t="shared" si="1"/>
        <v>12.52</v>
      </c>
      <c r="I11" s="89">
        <v>30</v>
      </c>
      <c r="J11" s="88">
        <v>35</v>
      </c>
      <c r="K11" s="90">
        <f t="shared" si="2"/>
        <v>5</v>
      </c>
      <c r="L11" s="91">
        <f t="shared" si="3"/>
        <v>76.9</v>
      </c>
      <c r="O11" s="92">
        <v>21.5</v>
      </c>
      <c r="P11" s="92">
        <v>31.75</v>
      </c>
      <c r="Q11" s="93">
        <f t="shared" si="4"/>
        <v>10.25</v>
      </c>
      <c r="R11" s="93">
        <f t="shared" si="5"/>
        <v>649.235</v>
      </c>
      <c r="S11" s="93"/>
      <c r="T11" s="93">
        <f t="shared" si="6"/>
        <v>738.655</v>
      </c>
      <c r="U11" s="93"/>
      <c r="V11" s="93"/>
    </row>
    <row r="12" spans="2:22" ht="14.25">
      <c r="B12" s="94">
        <v>14</v>
      </c>
      <c r="C12" s="94">
        <v>22</v>
      </c>
      <c r="D12" s="90">
        <f t="shared" si="0"/>
        <v>8</v>
      </c>
      <c r="E12" s="91">
        <f t="shared" si="1"/>
        <v>100.16</v>
      </c>
      <c r="I12" s="94">
        <v>22</v>
      </c>
      <c r="J12" s="89">
        <v>37</v>
      </c>
      <c r="K12" s="90">
        <f t="shared" si="2"/>
        <v>15</v>
      </c>
      <c r="L12" s="91">
        <f t="shared" si="3"/>
        <v>230.70000000000002</v>
      </c>
      <c r="O12" s="92">
        <v>22.17</v>
      </c>
      <c r="P12" s="92">
        <v>28.75</v>
      </c>
      <c r="Q12" s="93">
        <f t="shared" si="4"/>
        <v>6.579999999999998</v>
      </c>
      <c r="R12" s="93">
        <f t="shared" si="5"/>
        <v>416.77719999999994</v>
      </c>
      <c r="S12" s="93"/>
      <c r="T12" s="93">
        <f t="shared" si="6"/>
        <v>747.6371999999999</v>
      </c>
      <c r="U12" s="93"/>
      <c r="V12" s="93"/>
    </row>
    <row r="13" spans="2:22" ht="14.25">
      <c r="B13" s="94">
        <v>74</v>
      </c>
      <c r="C13" s="94">
        <v>100</v>
      </c>
      <c r="D13" s="90">
        <f t="shared" si="0"/>
        <v>26</v>
      </c>
      <c r="E13" s="91">
        <f t="shared" si="1"/>
        <v>325.52</v>
      </c>
      <c r="I13" s="94">
        <v>100</v>
      </c>
      <c r="J13" s="89">
        <v>160</v>
      </c>
      <c r="K13" s="90">
        <f t="shared" si="2"/>
        <v>60</v>
      </c>
      <c r="L13" s="91">
        <f t="shared" si="3"/>
        <v>922.8000000000001</v>
      </c>
      <c r="O13" s="92">
        <v>28.86</v>
      </c>
      <c r="P13" s="92">
        <v>43.42</v>
      </c>
      <c r="Q13" s="93">
        <f t="shared" si="4"/>
        <v>14.560000000000002</v>
      </c>
      <c r="R13" s="93">
        <f t="shared" si="5"/>
        <v>922.2304000000001</v>
      </c>
      <c r="S13" s="93"/>
      <c r="T13" s="93">
        <f t="shared" si="6"/>
        <v>2170.5504</v>
      </c>
      <c r="U13" s="93"/>
      <c r="V13" s="93"/>
    </row>
    <row r="14" spans="2:22" ht="14.25">
      <c r="B14" s="94">
        <v>17</v>
      </c>
      <c r="C14" s="94">
        <v>36</v>
      </c>
      <c r="D14" s="90">
        <f t="shared" si="0"/>
        <v>19</v>
      </c>
      <c r="E14" s="91">
        <f t="shared" si="1"/>
        <v>237.88</v>
      </c>
      <c r="I14" s="94">
        <v>36</v>
      </c>
      <c r="J14" s="89">
        <v>71</v>
      </c>
      <c r="K14" s="90">
        <f t="shared" si="2"/>
        <v>35</v>
      </c>
      <c r="L14" s="91">
        <f t="shared" si="3"/>
        <v>538.3000000000001</v>
      </c>
      <c r="O14" s="92">
        <v>19.77</v>
      </c>
      <c r="P14" s="92">
        <v>24.9</v>
      </c>
      <c r="Q14" s="93">
        <f t="shared" si="4"/>
        <v>5.129999999999999</v>
      </c>
      <c r="R14" s="93">
        <f t="shared" si="5"/>
        <v>324.9342</v>
      </c>
      <c r="S14" s="93"/>
      <c r="T14" s="93">
        <f t="shared" si="6"/>
        <v>1101.1142</v>
      </c>
      <c r="U14" s="93"/>
      <c r="V14" s="93"/>
    </row>
    <row r="15" spans="2:22" ht="14.25">
      <c r="B15" s="94">
        <v>9</v>
      </c>
      <c r="C15" s="94">
        <v>19</v>
      </c>
      <c r="D15" s="90">
        <f t="shared" si="0"/>
        <v>10</v>
      </c>
      <c r="E15" s="91">
        <f t="shared" si="1"/>
        <v>125.19999999999999</v>
      </c>
      <c r="I15" s="94">
        <v>19</v>
      </c>
      <c r="J15" s="89">
        <v>40</v>
      </c>
      <c r="K15" s="90">
        <f t="shared" si="2"/>
        <v>21</v>
      </c>
      <c r="L15" s="91">
        <f t="shared" si="3"/>
        <v>322.98</v>
      </c>
      <c r="O15" s="92">
        <v>19.77</v>
      </c>
      <c r="P15" s="92">
        <v>24.84</v>
      </c>
      <c r="Q15" s="93">
        <f t="shared" si="4"/>
        <v>5.07</v>
      </c>
      <c r="R15" s="93">
        <f t="shared" si="5"/>
        <v>321.1338</v>
      </c>
      <c r="S15" s="93"/>
      <c r="T15" s="93">
        <f t="shared" si="6"/>
        <v>769.3138000000001</v>
      </c>
      <c r="U15" s="93"/>
      <c r="V15" s="93"/>
    </row>
    <row r="16" spans="2:22" ht="14.25">
      <c r="B16" s="95">
        <v>0</v>
      </c>
      <c r="C16" s="89">
        <v>11</v>
      </c>
      <c r="D16" s="90">
        <f t="shared" si="0"/>
        <v>11</v>
      </c>
      <c r="E16" s="91">
        <f t="shared" si="1"/>
        <v>137.72</v>
      </c>
      <c r="I16" s="89">
        <v>11</v>
      </c>
      <c r="J16" s="88">
        <v>22</v>
      </c>
      <c r="K16" s="90">
        <f t="shared" si="2"/>
        <v>11</v>
      </c>
      <c r="L16" s="91">
        <f t="shared" si="3"/>
        <v>169.18</v>
      </c>
      <c r="O16" s="92">
        <v>21.78</v>
      </c>
      <c r="P16" s="92">
        <v>31.83</v>
      </c>
      <c r="Q16" s="93">
        <f t="shared" si="4"/>
        <v>10.049999999999997</v>
      </c>
      <c r="R16" s="93">
        <f t="shared" si="5"/>
        <v>636.5669999999999</v>
      </c>
      <c r="S16" s="93"/>
      <c r="T16" s="93">
        <f t="shared" si="6"/>
        <v>943.4669999999999</v>
      </c>
      <c r="U16" s="93"/>
      <c r="V16" s="93"/>
    </row>
    <row r="17" spans="2:22" ht="14.25">
      <c r="B17" s="94">
        <v>10</v>
      </c>
      <c r="C17" s="94">
        <v>17</v>
      </c>
      <c r="D17" s="90">
        <f t="shared" si="0"/>
        <v>7</v>
      </c>
      <c r="E17" s="91">
        <f t="shared" si="1"/>
        <v>87.64</v>
      </c>
      <c r="I17" s="94">
        <v>17</v>
      </c>
      <c r="J17" s="88">
        <v>23</v>
      </c>
      <c r="K17" s="90">
        <f t="shared" si="2"/>
        <v>6</v>
      </c>
      <c r="L17" s="91">
        <f t="shared" si="3"/>
        <v>92.28</v>
      </c>
      <c r="O17" s="92">
        <v>15.4</v>
      </c>
      <c r="P17" s="92">
        <v>22.04</v>
      </c>
      <c r="Q17" s="93">
        <f t="shared" si="4"/>
        <v>6.639999999999999</v>
      </c>
      <c r="R17" s="93">
        <f t="shared" si="5"/>
        <v>420.57759999999996</v>
      </c>
      <c r="S17" s="93"/>
      <c r="T17" s="93">
        <f t="shared" si="6"/>
        <v>600.4975999999999</v>
      </c>
      <c r="U17" s="93"/>
      <c r="V17" s="93"/>
    </row>
    <row r="18" spans="2:22" ht="14.25">
      <c r="B18" s="94">
        <v>0</v>
      </c>
      <c r="C18" s="94">
        <v>3</v>
      </c>
      <c r="D18" s="90">
        <f t="shared" si="0"/>
        <v>3</v>
      </c>
      <c r="E18" s="91">
        <f t="shared" si="1"/>
        <v>37.56</v>
      </c>
      <c r="I18" s="94">
        <v>3</v>
      </c>
      <c r="J18" s="89">
        <v>11</v>
      </c>
      <c r="K18" s="90">
        <f t="shared" si="2"/>
        <v>8</v>
      </c>
      <c r="L18" s="91">
        <f t="shared" si="3"/>
        <v>123.04</v>
      </c>
      <c r="O18" s="92">
        <v>21.28</v>
      </c>
      <c r="P18" s="92">
        <v>25.74</v>
      </c>
      <c r="Q18" s="93">
        <f t="shared" si="4"/>
        <v>4.459999999999997</v>
      </c>
      <c r="R18" s="93">
        <f t="shared" si="5"/>
        <v>282.4963999999998</v>
      </c>
      <c r="S18" s="93"/>
      <c r="T18" s="93">
        <f t="shared" si="6"/>
        <v>443.09639999999985</v>
      </c>
      <c r="U18" s="93"/>
      <c r="V18" s="93"/>
    </row>
    <row r="19" spans="2:22" ht="14.25">
      <c r="B19" s="94">
        <v>8</v>
      </c>
      <c r="C19" s="94">
        <v>23</v>
      </c>
      <c r="D19" s="90">
        <f t="shared" si="0"/>
        <v>15</v>
      </c>
      <c r="E19" s="91">
        <f t="shared" si="1"/>
        <v>187.79999999999998</v>
      </c>
      <c r="I19" s="94">
        <v>23</v>
      </c>
      <c r="J19" s="89">
        <v>42</v>
      </c>
      <c r="K19" s="90">
        <f t="shared" si="2"/>
        <v>19</v>
      </c>
      <c r="L19" s="91">
        <f t="shared" si="3"/>
        <v>292.22</v>
      </c>
      <c r="O19" s="92">
        <v>10.79</v>
      </c>
      <c r="P19" s="92">
        <v>23.11</v>
      </c>
      <c r="Q19" s="93">
        <f t="shared" si="4"/>
        <v>12.32</v>
      </c>
      <c r="R19" s="93">
        <f t="shared" si="5"/>
        <v>780.3488000000001</v>
      </c>
      <c r="S19" s="93"/>
      <c r="T19" s="93">
        <f t="shared" si="6"/>
        <v>1260.3688</v>
      </c>
      <c r="U19" s="93"/>
      <c r="V19" s="93"/>
    </row>
    <row r="20" spans="2:22" ht="14.25">
      <c r="B20" s="94">
        <v>8</v>
      </c>
      <c r="C20" s="89">
        <v>13</v>
      </c>
      <c r="D20" s="90">
        <f t="shared" si="0"/>
        <v>5</v>
      </c>
      <c r="E20" s="91">
        <f t="shared" si="1"/>
        <v>62.599999999999994</v>
      </c>
      <c r="I20" s="89">
        <v>13</v>
      </c>
      <c r="J20" s="88">
        <v>18</v>
      </c>
      <c r="K20" s="90">
        <f t="shared" si="2"/>
        <v>5</v>
      </c>
      <c r="L20" s="91">
        <f t="shared" si="3"/>
        <v>76.9</v>
      </c>
      <c r="O20" s="92">
        <v>16.53</v>
      </c>
      <c r="P20" s="92">
        <v>25.53</v>
      </c>
      <c r="Q20" s="93">
        <f t="shared" si="4"/>
        <v>9</v>
      </c>
      <c r="R20" s="93">
        <f t="shared" si="5"/>
        <v>570.0600000000001</v>
      </c>
      <c r="S20" s="93"/>
      <c r="T20" s="93">
        <f t="shared" si="6"/>
        <v>709.5600000000001</v>
      </c>
      <c r="U20" s="93"/>
      <c r="V20" s="93"/>
    </row>
    <row r="21" spans="2:22" ht="14.25">
      <c r="B21" s="94">
        <v>8</v>
      </c>
      <c r="C21" s="94">
        <v>11</v>
      </c>
      <c r="D21" s="90">
        <f t="shared" si="0"/>
        <v>3</v>
      </c>
      <c r="E21" s="91">
        <f t="shared" si="1"/>
        <v>37.56</v>
      </c>
      <c r="I21" s="94">
        <v>11</v>
      </c>
      <c r="J21" s="89">
        <v>16</v>
      </c>
      <c r="K21" s="90">
        <f t="shared" si="2"/>
        <v>5</v>
      </c>
      <c r="L21" s="91">
        <f t="shared" si="3"/>
        <v>76.9</v>
      </c>
      <c r="O21" s="92">
        <v>12.41</v>
      </c>
      <c r="P21" s="92">
        <v>20.94</v>
      </c>
      <c r="Q21" s="93">
        <f t="shared" si="4"/>
        <v>8.530000000000001</v>
      </c>
      <c r="R21" s="93">
        <f t="shared" si="5"/>
        <v>540.2902000000001</v>
      </c>
      <c r="S21" s="93"/>
      <c r="T21" s="93">
        <f t="shared" si="6"/>
        <v>654.7502000000002</v>
      </c>
      <c r="U21" s="93"/>
      <c r="V21" s="93"/>
    </row>
    <row r="22" spans="2:22" ht="14.25">
      <c r="B22" s="94">
        <v>14</v>
      </c>
      <c r="C22" s="94">
        <v>22</v>
      </c>
      <c r="D22" s="90">
        <f t="shared" si="0"/>
        <v>8</v>
      </c>
      <c r="E22" s="91">
        <f t="shared" si="1"/>
        <v>100.16</v>
      </c>
      <c r="I22" s="94">
        <v>22</v>
      </c>
      <c r="J22" s="88">
        <v>30</v>
      </c>
      <c r="K22" s="90">
        <f t="shared" si="2"/>
        <v>8</v>
      </c>
      <c r="L22" s="91">
        <f t="shared" si="3"/>
        <v>123.04</v>
      </c>
      <c r="O22" s="92">
        <v>24.56</v>
      </c>
      <c r="P22" s="92">
        <v>43.1</v>
      </c>
      <c r="Q22" s="93">
        <f t="shared" si="4"/>
        <v>18.540000000000003</v>
      </c>
      <c r="R22" s="93">
        <f t="shared" si="5"/>
        <v>1174.3236000000002</v>
      </c>
      <c r="S22" s="93"/>
      <c r="T22" s="93">
        <f t="shared" si="6"/>
        <v>1397.5236000000002</v>
      </c>
      <c r="U22" s="93"/>
      <c r="V22" s="93"/>
    </row>
    <row r="23" spans="2:22" ht="14.25">
      <c r="B23" s="94">
        <v>5</v>
      </c>
      <c r="C23" s="94">
        <v>14</v>
      </c>
      <c r="D23" s="90">
        <f t="shared" si="0"/>
        <v>9</v>
      </c>
      <c r="E23" s="91">
        <f t="shared" si="1"/>
        <v>112.67999999999999</v>
      </c>
      <c r="I23" s="94">
        <v>14</v>
      </c>
      <c r="J23" s="89">
        <v>29</v>
      </c>
      <c r="K23" s="90">
        <f t="shared" si="2"/>
        <v>15</v>
      </c>
      <c r="L23" s="91">
        <f t="shared" si="3"/>
        <v>230.70000000000002</v>
      </c>
      <c r="O23" s="92">
        <v>14.11</v>
      </c>
      <c r="P23" s="92">
        <v>25.73</v>
      </c>
      <c r="Q23" s="93">
        <f t="shared" si="4"/>
        <v>11.620000000000001</v>
      </c>
      <c r="R23" s="93">
        <f t="shared" si="5"/>
        <v>736.0108000000001</v>
      </c>
      <c r="S23" s="93"/>
      <c r="T23" s="93">
        <f t="shared" si="6"/>
        <v>1079.3908000000001</v>
      </c>
      <c r="U23" s="93"/>
      <c r="V23" s="93"/>
    </row>
    <row r="24" spans="2:22" ht="14.25">
      <c r="B24" s="94">
        <v>8</v>
      </c>
      <c r="C24" s="94">
        <v>10</v>
      </c>
      <c r="D24" s="90">
        <f t="shared" si="0"/>
        <v>2</v>
      </c>
      <c r="E24" s="91">
        <f t="shared" si="1"/>
        <v>25.04</v>
      </c>
      <c r="I24" s="94">
        <v>10</v>
      </c>
      <c r="J24" s="88">
        <v>12</v>
      </c>
      <c r="K24" s="90">
        <f t="shared" si="2"/>
        <v>2</v>
      </c>
      <c r="L24" s="91">
        <f t="shared" si="3"/>
        <v>30.76</v>
      </c>
      <c r="O24" s="92">
        <v>22.18</v>
      </c>
      <c r="P24" s="92">
        <v>35.06</v>
      </c>
      <c r="Q24" s="93">
        <f t="shared" si="4"/>
        <v>12.880000000000003</v>
      </c>
      <c r="R24" s="93">
        <f t="shared" si="5"/>
        <v>815.8192000000003</v>
      </c>
      <c r="S24" s="93"/>
      <c r="T24" s="93">
        <f t="shared" si="6"/>
        <v>871.6192000000002</v>
      </c>
      <c r="U24" s="93"/>
      <c r="V24" s="93"/>
    </row>
    <row r="25" spans="2:22" ht="14.25">
      <c r="B25" s="94">
        <v>45</v>
      </c>
      <c r="C25" s="94">
        <v>74</v>
      </c>
      <c r="D25" s="90">
        <f t="shared" si="0"/>
        <v>29</v>
      </c>
      <c r="E25" s="91">
        <f t="shared" si="1"/>
        <v>363.08</v>
      </c>
      <c r="I25" s="94">
        <v>74</v>
      </c>
      <c r="J25" s="89">
        <v>119</v>
      </c>
      <c r="K25" s="90">
        <f t="shared" si="2"/>
        <v>45</v>
      </c>
      <c r="L25" s="91">
        <f t="shared" si="3"/>
        <v>692.1</v>
      </c>
      <c r="O25" s="92">
        <v>30.17</v>
      </c>
      <c r="P25" s="92">
        <v>58.24</v>
      </c>
      <c r="Q25" s="93">
        <f t="shared" si="4"/>
        <v>28.07</v>
      </c>
      <c r="R25" s="93">
        <f t="shared" si="5"/>
        <v>1777.9538</v>
      </c>
      <c r="S25" s="93"/>
      <c r="T25" s="93">
        <f t="shared" si="6"/>
        <v>2833.1338</v>
      </c>
      <c r="U25" s="93"/>
      <c r="V25" s="93"/>
    </row>
    <row r="26" spans="2:22" ht="14.25">
      <c r="B26" s="95">
        <v>0</v>
      </c>
      <c r="C26" s="95">
        <v>0</v>
      </c>
      <c r="D26" s="90">
        <f t="shared" si="0"/>
        <v>0</v>
      </c>
      <c r="E26" s="91">
        <f t="shared" si="1"/>
        <v>0</v>
      </c>
      <c r="I26" s="95">
        <v>0</v>
      </c>
      <c r="J26" s="88">
        <v>1</v>
      </c>
      <c r="K26" s="90">
        <f t="shared" si="2"/>
        <v>1</v>
      </c>
      <c r="L26" s="91">
        <f t="shared" si="3"/>
        <v>15.38</v>
      </c>
      <c r="O26" s="92">
        <v>15.34</v>
      </c>
      <c r="P26" s="92">
        <v>24.57</v>
      </c>
      <c r="Q26" s="93">
        <f t="shared" si="4"/>
        <v>9.23</v>
      </c>
      <c r="R26" s="93">
        <f t="shared" si="5"/>
        <v>584.6282000000001</v>
      </c>
      <c r="S26" s="93"/>
      <c r="T26" s="93">
        <f t="shared" si="6"/>
        <v>600.0082000000001</v>
      </c>
      <c r="U26" s="93"/>
      <c r="V26" s="93"/>
    </row>
    <row r="27" spans="2:22" ht="14.25">
      <c r="B27" s="94">
        <v>3</v>
      </c>
      <c r="C27" s="94">
        <v>7</v>
      </c>
      <c r="D27" s="90">
        <f t="shared" si="0"/>
        <v>4</v>
      </c>
      <c r="E27" s="91">
        <f t="shared" si="1"/>
        <v>50.08</v>
      </c>
      <c r="I27" s="94">
        <v>7</v>
      </c>
      <c r="J27" s="88">
        <v>11</v>
      </c>
      <c r="K27" s="90">
        <f t="shared" si="2"/>
        <v>4</v>
      </c>
      <c r="L27" s="91">
        <f t="shared" si="3"/>
        <v>61.52</v>
      </c>
      <c r="O27" s="92">
        <v>13.25</v>
      </c>
      <c r="P27" s="92">
        <v>19</v>
      </c>
      <c r="Q27" s="93">
        <f t="shared" si="4"/>
        <v>5.75</v>
      </c>
      <c r="R27" s="93">
        <f t="shared" si="5"/>
        <v>364.20500000000004</v>
      </c>
      <c r="S27" s="93"/>
      <c r="T27" s="93">
        <f t="shared" si="6"/>
        <v>475.805</v>
      </c>
      <c r="U27" s="93"/>
      <c r="V27" s="93"/>
    </row>
    <row r="28" spans="2:22" ht="14.25">
      <c r="B28" s="94">
        <v>6</v>
      </c>
      <c r="C28" s="94">
        <v>13</v>
      </c>
      <c r="D28" s="90">
        <f t="shared" si="0"/>
        <v>7</v>
      </c>
      <c r="E28" s="91">
        <f t="shared" si="1"/>
        <v>87.64</v>
      </c>
      <c r="I28" s="94">
        <v>13</v>
      </c>
      <c r="J28" s="89">
        <v>27</v>
      </c>
      <c r="K28" s="90">
        <f t="shared" si="2"/>
        <v>14</v>
      </c>
      <c r="L28" s="91">
        <f t="shared" si="3"/>
        <v>215.32000000000002</v>
      </c>
      <c r="O28" s="92">
        <v>13.33</v>
      </c>
      <c r="P28" s="92">
        <v>16.53</v>
      </c>
      <c r="Q28" s="93">
        <f t="shared" si="4"/>
        <v>3.200000000000001</v>
      </c>
      <c r="R28" s="93">
        <f t="shared" si="5"/>
        <v>202.68800000000007</v>
      </c>
      <c r="S28" s="93"/>
      <c r="T28" s="93">
        <f t="shared" si="6"/>
        <v>505.6480000000001</v>
      </c>
      <c r="U28" s="93"/>
      <c r="V28" s="93"/>
    </row>
    <row r="29" spans="2:22" ht="14.25">
      <c r="B29" s="94">
        <v>22</v>
      </c>
      <c r="C29" s="94">
        <v>30</v>
      </c>
      <c r="D29" s="90">
        <f t="shared" si="0"/>
        <v>8</v>
      </c>
      <c r="E29" s="91">
        <f t="shared" si="1"/>
        <v>100.16</v>
      </c>
      <c r="I29" s="94">
        <v>30</v>
      </c>
      <c r="J29" s="88">
        <v>38</v>
      </c>
      <c r="K29" s="90">
        <f t="shared" si="2"/>
        <v>8</v>
      </c>
      <c r="L29" s="91">
        <f t="shared" si="3"/>
        <v>123.04</v>
      </c>
      <c r="O29" s="92">
        <v>23.04</v>
      </c>
      <c r="P29" s="92">
        <v>34.87</v>
      </c>
      <c r="Q29" s="93">
        <f t="shared" si="4"/>
        <v>11.829999999999998</v>
      </c>
      <c r="R29" s="93">
        <f t="shared" si="5"/>
        <v>749.3122</v>
      </c>
      <c r="S29" s="93"/>
      <c r="T29" s="93">
        <f t="shared" si="6"/>
        <v>972.5121999999999</v>
      </c>
      <c r="U29" s="93"/>
      <c r="V29" s="93"/>
    </row>
    <row r="30" spans="2:22" ht="14.25">
      <c r="B30" s="94">
        <v>7</v>
      </c>
      <c r="C30" s="94">
        <v>12</v>
      </c>
      <c r="D30" s="90">
        <f t="shared" si="0"/>
        <v>5</v>
      </c>
      <c r="E30" s="91">
        <f t="shared" si="1"/>
        <v>62.599999999999994</v>
      </c>
      <c r="I30" s="94">
        <v>12</v>
      </c>
      <c r="J30" s="89">
        <v>24</v>
      </c>
      <c r="K30" s="90">
        <f t="shared" si="2"/>
        <v>12</v>
      </c>
      <c r="L30" s="91">
        <f t="shared" si="3"/>
        <v>184.56</v>
      </c>
      <c r="O30" s="92">
        <v>12.9</v>
      </c>
      <c r="P30" s="92">
        <v>24.22</v>
      </c>
      <c r="Q30" s="93">
        <f t="shared" si="4"/>
        <v>11.319999999999999</v>
      </c>
      <c r="R30" s="93">
        <f t="shared" si="5"/>
        <v>717.0088</v>
      </c>
      <c r="S30" s="93"/>
      <c r="T30" s="93">
        <f t="shared" si="6"/>
        <v>964.1688</v>
      </c>
      <c r="U30" s="93"/>
      <c r="V30" s="93"/>
    </row>
    <row r="31" spans="2:22" ht="14.25">
      <c r="B31" s="94">
        <v>9</v>
      </c>
      <c r="C31" s="94">
        <v>19</v>
      </c>
      <c r="D31" s="90">
        <f t="shared" si="0"/>
        <v>10</v>
      </c>
      <c r="E31" s="91">
        <f t="shared" si="1"/>
        <v>125.19999999999999</v>
      </c>
      <c r="I31" s="94">
        <v>19</v>
      </c>
      <c r="J31" s="89">
        <v>35</v>
      </c>
      <c r="K31" s="90">
        <f t="shared" si="2"/>
        <v>16</v>
      </c>
      <c r="L31" s="91">
        <f t="shared" si="3"/>
        <v>246.08</v>
      </c>
      <c r="O31" s="92">
        <v>13.07</v>
      </c>
      <c r="P31" s="92">
        <v>20.71</v>
      </c>
      <c r="Q31" s="93">
        <f t="shared" si="4"/>
        <v>7.640000000000001</v>
      </c>
      <c r="R31" s="93">
        <f t="shared" si="5"/>
        <v>483.91760000000005</v>
      </c>
      <c r="S31" s="93"/>
      <c r="T31" s="93">
        <f t="shared" si="6"/>
        <v>855.1976</v>
      </c>
      <c r="U31" s="93"/>
      <c r="V31" s="93"/>
    </row>
    <row r="32" spans="2:22" ht="14.25">
      <c r="B32" s="94">
        <v>3</v>
      </c>
      <c r="C32" s="94">
        <v>18</v>
      </c>
      <c r="D32" s="90">
        <f t="shared" si="0"/>
        <v>15</v>
      </c>
      <c r="E32" s="91">
        <f t="shared" si="1"/>
        <v>187.79999999999998</v>
      </c>
      <c r="I32" s="94">
        <v>18</v>
      </c>
      <c r="J32" s="89">
        <v>31</v>
      </c>
      <c r="K32" s="90">
        <f t="shared" si="2"/>
        <v>13</v>
      </c>
      <c r="L32" s="91">
        <f t="shared" si="3"/>
        <v>199.94</v>
      </c>
      <c r="O32" s="92">
        <v>15.24</v>
      </c>
      <c r="P32" s="92">
        <v>38.16</v>
      </c>
      <c r="Q32" s="93">
        <f t="shared" si="4"/>
        <v>22.919999999999995</v>
      </c>
      <c r="R32" s="93">
        <f t="shared" si="5"/>
        <v>1451.7527999999998</v>
      </c>
      <c r="S32" s="93"/>
      <c r="T32" s="93">
        <f t="shared" si="6"/>
        <v>1839.4927999999998</v>
      </c>
      <c r="U32" s="93"/>
      <c r="V32" s="93"/>
    </row>
    <row r="33" spans="2:22" ht="14.25">
      <c r="B33" s="94">
        <v>38</v>
      </c>
      <c r="C33" s="94">
        <v>68</v>
      </c>
      <c r="D33" s="90">
        <f t="shared" si="0"/>
        <v>30</v>
      </c>
      <c r="E33" s="91">
        <f t="shared" si="1"/>
        <v>375.59999999999997</v>
      </c>
      <c r="I33" s="94">
        <v>68</v>
      </c>
      <c r="J33" s="88">
        <v>90</v>
      </c>
      <c r="K33" s="90">
        <f t="shared" si="2"/>
        <v>22</v>
      </c>
      <c r="L33" s="91">
        <f t="shared" si="3"/>
        <v>338.36</v>
      </c>
      <c r="O33" s="92">
        <v>18.06</v>
      </c>
      <c r="P33" s="92">
        <v>28.02</v>
      </c>
      <c r="Q33" s="93">
        <f t="shared" si="4"/>
        <v>9.96</v>
      </c>
      <c r="R33" s="93">
        <f t="shared" si="5"/>
        <v>630.8664000000001</v>
      </c>
      <c r="S33" s="93"/>
      <c r="T33" s="93">
        <f t="shared" si="6"/>
        <v>1344.8264000000001</v>
      </c>
      <c r="U33" s="93"/>
      <c r="V33" s="93"/>
    </row>
    <row r="34" spans="4:25" ht="15">
      <c r="D34" s="96">
        <f>SUM(D3:D33)</f>
        <v>299</v>
      </c>
      <c r="K34" s="96">
        <f>SUM(K3:K33)</f>
        <v>426</v>
      </c>
      <c r="Q34" s="97">
        <f>SUM(Q3:Q33)</f>
        <v>342.21</v>
      </c>
      <c r="X34" s="98"/>
      <c r="Y34" s="99"/>
    </row>
    <row r="36" spans="2:17" ht="84" customHeight="1">
      <c r="B36" s="100" t="s">
        <v>52</v>
      </c>
      <c r="C36" s="101" t="s">
        <v>53</v>
      </c>
      <c r="D36" s="102" t="s">
        <v>54</v>
      </c>
      <c r="F36" s="103" t="s">
        <v>55</v>
      </c>
      <c r="K36" s="102" t="s">
        <v>56</v>
      </c>
      <c r="M36" s="104" t="s">
        <v>57</v>
      </c>
      <c r="P36" s="100" t="s">
        <v>52</v>
      </c>
      <c r="Q36" s="101" t="s">
        <v>53</v>
      </c>
    </row>
    <row r="37" spans="1:22" ht="15">
      <c r="A37" s="105" t="s">
        <v>58</v>
      </c>
      <c r="B37" s="106">
        <v>1161.61</v>
      </c>
      <c r="C37" s="107">
        <v>361.85</v>
      </c>
      <c r="D37" s="98">
        <f>B37-361.85</f>
        <v>799.7599999999999</v>
      </c>
      <c r="F37" s="108">
        <f>D41/D34</f>
        <v>12.518561872909697</v>
      </c>
      <c r="J37" s="109" t="s">
        <v>59</v>
      </c>
      <c r="K37" s="98">
        <v>935.76</v>
      </c>
      <c r="M37" s="110">
        <f>K44/K34</f>
        <v>15.376338028169016</v>
      </c>
      <c r="O37" s="111" t="s">
        <v>60</v>
      </c>
      <c r="P37" s="112">
        <v>3000</v>
      </c>
      <c r="Q37" s="107">
        <v>361.85</v>
      </c>
      <c r="R37" s="98">
        <f aca="true" t="shared" si="7" ref="R37:R43">P37-Q37-K37</f>
        <v>1702.39</v>
      </c>
      <c r="T37" s="98">
        <f>R44/Q34</f>
        <v>63.33909003243622</v>
      </c>
      <c r="U37" s="98"/>
      <c r="V37" s="98"/>
    </row>
    <row r="38" spans="1:18" ht="14.25">
      <c r="A38" s="105" t="s">
        <v>61</v>
      </c>
      <c r="B38" s="106">
        <v>1397.8</v>
      </c>
      <c r="C38" s="107">
        <v>361.85</v>
      </c>
      <c r="D38" s="98">
        <f>B38-361.85</f>
        <v>1035.9499999999998</v>
      </c>
      <c r="J38" s="109" t="s">
        <v>62</v>
      </c>
      <c r="K38" s="98">
        <v>935.76</v>
      </c>
      <c r="O38" s="111" t="s">
        <v>63</v>
      </c>
      <c r="P38" s="113">
        <v>5492.72</v>
      </c>
      <c r="Q38" s="107">
        <v>361.85</v>
      </c>
      <c r="R38" s="98">
        <f t="shared" si="7"/>
        <v>4195.11</v>
      </c>
    </row>
    <row r="39" spans="1:18" ht="14.25">
      <c r="A39" s="105" t="s">
        <v>64</v>
      </c>
      <c r="B39" s="106">
        <v>1206.09</v>
      </c>
      <c r="C39" s="107">
        <v>361.85</v>
      </c>
      <c r="D39" s="98">
        <f>B39-361.85</f>
        <v>844.2399999999999</v>
      </c>
      <c r="J39" s="114" t="s">
        <v>65</v>
      </c>
      <c r="K39" s="98">
        <v>935.76</v>
      </c>
      <c r="O39" s="115" t="s">
        <v>66</v>
      </c>
      <c r="P39" s="36">
        <v>5497.46</v>
      </c>
      <c r="Q39" s="107">
        <v>361.85</v>
      </c>
      <c r="R39" s="98">
        <f t="shared" si="7"/>
        <v>4199.849999999999</v>
      </c>
    </row>
    <row r="40" spans="1:18" ht="14.25">
      <c r="A40" s="105" t="s">
        <v>67</v>
      </c>
      <c r="B40" s="106">
        <v>1424.95</v>
      </c>
      <c r="C40" s="107">
        <v>361.85</v>
      </c>
      <c r="D40" s="98">
        <f>B40-361.85</f>
        <v>1063.1</v>
      </c>
      <c r="J40" s="114" t="s">
        <v>68</v>
      </c>
      <c r="K40" s="98">
        <v>935.76</v>
      </c>
      <c r="O40" s="115" t="s">
        <v>69</v>
      </c>
      <c r="P40" s="116">
        <v>3487.81</v>
      </c>
      <c r="Q40" s="107">
        <v>361.85</v>
      </c>
      <c r="R40" s="98">
        <f t="shared" si="7"/>
        <v>2190.2</v>
      </c>
    </row>
    <row r="41" spans="3:18" ht="15">
      <c r="C41" s="117" t="s">
        <v>70</v>
      </c>
      <c r="D41" s="118">
        <f>SUM(D37:D40)</f>
        <v>3743.0499999999993</v>
      </c>
      <c r="J41" s="114" t="s">
        <v>71</v>
      </c>
      <c r="K41" s="98">
        <v>935.76</v>
      </c>
      <c r="O41" s="115" t="s">
        <v>72</v>
      </c>
      <c r="P41" s="36">
        <v>6875.83</v>
      </c>
      <c r="Q41" s="107">
        <v>361.85</v>
      </c>
      <c r="R41" s="98">
        <f t="shared" si="7"/>
        <v>5578.219999999999</v>
      </c>
    </row>
    <row r="42" spans="10:18" ht="14.25">
      <c r="J42" s="114" t="s">
        <v>73</v>
      </c>
      <c r="K42" s="98">
        <v>935.76</v>
      </c>
      <c r="O42" s="115" t="s">
        <v>74</v>
      </c>
      <c r="P42" s="36">
        <v>3540.67</v>
      </c>
      <c r="Q42" s="107">
        <v>361.85</v>
      </c>
      <c r="R42" s="98">
        <f t="shared" si="7"/>
        <v>2243.0600000000004</v>
      </c>
    </row>
    <row r="43" spans="3:18" ht="15">
      <c r="C43" s="119" t="s">
        <v>75</v>
      </c>
      <c r="D43" s="118">
        <f>(D40+D39+D38+D37)/4</f>
        <v>935.7624999999998</v>
      </c>
      <c r="J43" s="114" t="s">
        <v>76</v>
      </c>
      <c r="K43" s="98">
        <v>935.76</v>
      </c>
      <c r="O43" s="120" t="s">
        <v>77</v>
      </c>
      <c r="P43" s="116">
        <v>2864.05</v>
      </c>
      <c r="Q43" s="107">
        <v>361.85</v>
      </c>
      <c r="R43" s="98">
        <f t="shared" si="7"/>
        <v>1566.4400000000003</v>
      </c>
    </row>
    <row r="44" spans="10:18" ht="15">
      <c r="J44" s="31" t="s">
        <v>78</v>
      </c>
      <c r="K44" s="118">
        <f>SUM(K37:K43)</f>
        <v>6550.320000000001</v>
      </c>
      <c r="Q44" s="31" t="s">
        <v>79</v>
      </c>
      <c r="R44" s="118">
        <f>SUM(R37:R43)</f>
        <v>21675.269999999997</v>
      </c>
    </row>
    <row r="51" ht="15">
      <c r="C5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Łukasz Szeląg</cp:lastModifiedBy>
  <dcterms:created xsi:type="dcterms:W3CDTF">2013-06-03T23:15:57Z</dcterms:created>
  <dcterms:modified xsi:type="dcterms:W3CDTF">2023-08-16T19:38:50Z</dcterms:modified>
  <cp:category/>
  <cp:version/>
  <cp:contentType/>
  <cp:contentStatus/>
</cp:coreProperties>
</file>